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ikooinouye/Desktop/Figures/SourceDataForFig2/"/>
    </mc:Choice>
  </mc:AlternateContent>
  <xr:revisionPtr revIDLastSave="0" documentId="13_ncr:1_{76121FA0-8E88-CA47-99CF-862B4543F300}" xr6:coauthVersionLast="47" xr6:coauthVersionMax="47" xr10:uidLastSave="{00000000-0000-0000-0000-000000000000}"/>
  <bookViews>
    <workbookView xWindow="1160" yWindow="500" windowWidth="27640" windowHeight="15840" xr2:uid="{2C0AD96C-7298-6843-836A-2D57E90EE845}"/>
  </bookViews>
  <sheets>
    <sheet name="2A" sheetId="1" r:id="rId1"/>
    <sheet name="2B" sheetId="2" r:id="rId2"/>
    <sheet name="2C" sheetId="3" r:id="rId3"/>
    <sheet name="2D" sheetId="4" r:id="rId4"/>
    <sheet name="2E" sheetId="5" r:id="rId5"/>
    <sheet name="2F" sheetId="6" r:id="rId6"/>
    <sheet name="Sheet7" sheetId="7" r:id="rId7"/>
  </sheets>
  <externalReferences>
    <externalReference r:id="rId8"/>
    <externalReference r:id="rId9"/>
    <externalReference r:id="rId10"/>
  </externalReferences>
  <definedNames>
    <definedName name="_xlchart.v1.0" hidden="1">'2A'!$P$227</definedName>
    <definedName name="_xlchart.v1.1" hidden="1">'2A'!$P$228:$P$234</definedName>
    <definedName name="_xlchart.v1.10" hidden="1">'2A'!$U$227</definedName>
    <definedName name="_xlchart.v1.11" hidden="1">'2A'!$U$228:$U$234</definedName>
    <definedName name="_xlchart.v1.12" hidden="1">'2A'!$N$12:$N$20</definedName>
    <definedName name="_xlchart.v1.13" hidden="1">'2A'!$O$12:$O$20</definedName>
    <definedName name="_xlchart.v1.14" hidden="1">'2A'!$P$12:$P$20</definedName>
    <definedName name="_xlchart.v1.15" hidden="1">'2A'!$Q$12:$Q$20</definedName>
    <definedName name="_xlchart.v1.16" hidden="1">'2A'!$R$12:$R$20</definedName>
    <definedName name="_xlchart.v1.17" hidden="1">'2A'!$S$12:$S$20</definedName>
    <definedName name="_xlchart.v1.18" hidden="1">'2A'!$N$118</definedName>
    <definedName name="_xlchart.v1.19" hidden="1">'2A'!$N$119:$N$127</definedName>
    <definedName name="_xlchart.v1.2" hidden="1">'2A'!$Q$227</definedName>
    <definedName name="_xlchart.v1.20" hidden="1">'2A'!$O$118</definedName>
    <definedName name="_xlchart.v1.21" hidden="1">'2A'!$O$119:$O$127</definedName>
    <definedName name="_xlchart.v1.22" hidden="1">'2A'!$P$118</definedName>
    <definedName name="_xlchart.v1.23" hidden="1">'2A'!$P$119:$P$127</definedName>
    <definedName name="_xlchart.v1.24" hidden="1">'2A'!$Q$118</definedName>
    <definedName name="_xlchart.v1.25" hidden="1">'2A'!$Q$119:$Q$127</definedName>
    <definedName name="_xlchart.v1.26" hidden="1">'2A'!$R$118</definedName>
    <definedName name="_xlchart.v1.27" hidden="1">'2A'!$R$119:$R$127</definedName>
    <definedName name="_xlchart.v1.28" hidden="1">'2A'!$S$118</definedName>
    <definedName name="_xlchart.v1.29" hidden="1">'2A'!$S$119:$S$127</definedName>
    <definedName name="_xlchart.v1.3" hidden="1">'2A'!$Q$228:$Q$234</definedName>
    <definedName name="_xlchart.v1.30" hidden="1">[2]Rep1!$J$73</definedName>
    <definedName name="_xlchart.v1.31" hidden="1">[2]Rep1!$J$74:$J$81</definedName>
    <definedName name="_xlchart.v1.32" hidden="1">[2]Rep1!$K$73</definedName>
    <definedName name="_xlchart.v1.33" hidden="1">[2]Rep1!$K$74:$K$81</definedName>
    <definedName name="_xlchart.v1.34" hidden="1">[2]Rep1!$L$73</definedName>
    <definedName name="_xlchart.v1.35" hidden="1">[2]Rep1!$L$74:$L$81</definedName>
    <definedName name="_xlchart.v1.36" hidden="1">[2]Rep1!$M$73</definedName>
    <definedName name="_xlchart.v1.37" hidden="1">[2]Rep1!$M$74:$M$81</definedName>
    <definedName name="_xlchart.v1.38" hidden="1">[2]Rep2!$M$12</definedName>
    <definedName name="_xlchart.v1.39" hidden="1">[2]Rep2!$M$13:$M$22</definedName>
    <definedName name="_xlchart.v1.4" hidden="1">'2A'!$R$227</definedName>
    <definedName name="_xlchart.v1.40" hidden="1">[2]Rep2!$N$12</definedName>
    <definedName name="_xlchart.v1.41" hidden="1">[2]Rep2!$N$13:$N$22</definedName>
    <definedName name="_xlchart.v1.42" hidden="1">[2]Rep2!$O$12</definedName>
    <definedName name="_xlchart.v1.43" hidden="1">[2]Rep2!$O$13:$O$22</definedName>
    <definedName name="_xlchart.v1.44" hidden="1">[2]Rep2!$P$12</definedName>
    <definedName name="_xlchart.v1.45" hidden="1">[2]Rep2!$P$13:$P$22</definedName>
    <definedName name="_xlchart.v1.46" hidden="1">[2]Rep3!$M$11</definedName>
    <definedName name="_xlchart.v1.47" hidden="1">[2]Rep3!$M$12:$M$21</definedName>
    <definedName name="_xlchart.v1.48" hidden="1">[2]Rep3!$N$11</definedName>
    <definedName name="_xlchart.v1.49" hidden="1">[2]Rep3!$N$12:$N$21</definedName>
    <definedName name="_xlchart.v1.5" hidden="1">'2A'!$R$228:$R$234</definedName>
    <definedName name="_xlchart.v1.50" hidden="1">[2]Rep3!$O$11</definedName>
    <definedName name="_xlchart.v1.51" hidden="1">[2]Rep3!$O$12:$O$21</definedName>
    <definedName name="_xlchart.v1.52" hidden="1">[2]Rep3!$P$11</definedName>
    <definedName name="_xlchart.v1.53" hidden="1">[2]Rep3!$P$12:$P$21</definedName>
    <definedName name="_xlchart.v1.54" hidden="1">[1]Sheet1!$O$3</definedName>
    <definedName name="_xlchart.v1.55" hidden="1">[1]Sheet1!$O$4:$O$12</definedName>
    <definedName name="_xlchart.v1.56" hidden="1">[1]Sheet1!$P$3</definedName>
    <definedName name="_xlchart.v1.57" hidden="1">[1]Sheet1!$P$4:$P$12</definedName>
    <definedName name="_xlchart.v1.58" hidden="1">[1]Sheet1!$Q$3</definedName>
    <definedName name="_xlchart.v1.59" hidden="1">[1]Sheet1!$Q$4:$Q$12</definedName>
    <definedName name="_xlchart.v1.6" hidden="1">'2A'!$S$227</definedName>
    <definedName name="_xlchart.v1.60" hidden="1">[1]Sheet1!$R$3</definedName>
    <definedName name="_xlchart.v1.61" hidden="1">[1]Sheet1!$R$4:$R$12</definedName>
    <definedName name="_xlchart.v1.62" hidden="1">[1]Sheet1!$P$114</definedName>
    <definedName name="_xlchart.v1.63" hidden="1">[1]Sheet1!$P$115:$P$122</definedName>
    <definedName name="_xlchart.v1.64" hidden="1">[1]Sheet1!$Q$114</definedName>
    <definedName name="_xlchart.v1.65" hidden="1">[1]Sheet1!$Q$115:$Q$122</definedName>
    <definedName name="_xlchart.v1.66" hidden="1">[1]Sheet1!$R$114</definedName>
    <definedName name="_xlchart.v1.67" hidden="1">[1]Sheet1!$R$115:$R$122</definedName>
    <definedName name="_xlchart.v1.68" hidden="1">[1]Sheet1!$S$114</definedName>
    <definedName name="_xlchart.v1.69" hidden="1">[1]Sheet1!$S$115:$S$122</definedName>
    <definedName name="_xlchart.v1.7" hidden="1">'2A'!$S$228:$S$234</definedName>
    <definedName name="_xlchart.v1.70" hidden="1">[1]Sheet1!$P$222</definedName>
    <definedName name="_xlchart.v1.71" hidden="1">[1]Sheet1!$P$223:$P$230</definedName>
    <definedName name="_xlchart.v1.72" hidden="1">[1]Sheet1!$Q$222</definedName>
    <definedName name="_xlchart.v1.73" hidden="1">[1]Sheet1!$Q$223:$Q$230</definedName>
    <definedName name="_xlchart.v1.74" hidden="1">[1]Sheet1!$R$222</definedName>
    <definedName name="_xlchart.v1.75" hidden="1">[1]Sheet1!$R$223:$R$230</definedName>
    <definedName name="_xlchart.v1.76" hidden="1">[1]Sheet1!$S$222</definedName>
    <definedName name="_xlchart.v1.77" hidden="1">[1]Sheet1!$S$223:$S$230</definedName>
    <definedName name="_xlchart.v1.8" hidden="1">'2A'!$T$227</definedName>
    <definedName name="_xlchart.v1.9" hidden="1">'2A'!$T$228:$T$234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5" i="6" l="1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O201" i="6"/>
  <c r="O200" i="6"/>
  <c r="O199" i="6"/>
  <c r="O198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F48" i="5"/>
  <c r="E48" i="5"/>
  <c r="D48" i="5"/>
  <c r="C48" i="5"/>
  <c r="F35" i="5"/>
  <c r="E35" i="5"/>
  <c r="D35" i="5"/>
  <c r="C35" i="5"/>
  <c r="F22" i="5"/>
  <c r="E22" i="5"/>
  <c r="D22" i="5"/>
  <c r="C22" i="5"/>
  <c r="L28" i="4" l="1"/>
  <c r="K28" i="4"/>
  <c r="G28" i="4"/>
  <c r="F28" i="4"/>
  <c r="L27" i="4"/>
  <c r="K27" i="4"/>
  <c r="G27" i="4"/>
  <c r="F27" i="4"/>
  <c r="L26" i="4"/>
  <c r="K26" i="4"/>
  <c r="G26" i="4"/>
  <c r="F26" i="4"/>
  <c r="L20" i="4"/>
  <c r="K20" i="4"/>
  <c r="G20" i="4"/>
  <c r="F20" i="4"/>
  <c r="L19" i="4"/>
  <c r="K19" i="4"/>
  <c r="G19" i="4"/>
  <c r="F19" i="4"/>
  <c r="L18" i="4"/>
  <c r="K18" i="4"/>
  <c r="G18" i="4"/>
  <c r="F18" i="4"/>
  <c r="D320" i="3" l="1"/>
  <c r="G318" i="3" s="1"/>
  <c r="B320" i="3"/>
  <c r="F318" i="3" s="1"/>
  <c r="D317" i="3"/>
  <c r="B317" i="3"/>
  <c r="G315" i="3"/>
  <c r="F315" i="3"/>
  <c r="D314" i="3"/>
  <c r="G312" i="3" s="1"/>
  <c r="B314" i="3"/>
  <c r="F312" i="3" s="1"/>
  <c r="H312" i="3" s="1"/>
  <c r="D311" i="3"/>
  <c r="B311" i="3"/>
  <c r="F309" i="3" s="1"/>
  <c r="G309" i="3"/>
  <c r="D308" i="3"/>
  <c r="G306" i="3" s="1"/>
  <c r="B308" i="3"/>
  <c r="F306" i="3" s="1"/>
  <c r="H306" i="3" s="1"/>
  <c r="L306" i="3"/>
  <c r="D305" i="3"/>
  <c r="G303" i="3" s="1"/>
  <c r="B305" i="3"/>
  <c r="F303" i="3"/>
  <c r="D302" i="3"/>
  <c r="B302" i="3"/>
  <c r="F300" i="3" s="1"/>
  <c r="G300" i="3"/>
  <c r="D298" i="3"/>
  <c r="G296" i="3" s="1"/>
  <c r="B298" i="3"/>
  <c r="F296" i="3"/>
  <c r="D295" i="3"/>
  <c r="G293" i="3" s="1"/>
  <c r="B295" i="3"/>
  <c r="F293" i="3" s="1"/>
  <c r="D292" i="3"/>
  <c r="G290" i="3" s="1"/>
  <c r="B292" i="3"/>
  <c r="F290" i="3"/>
  <c r="D289" i="3"/>
  <c r="B289" i="3"/>
  <c r="F287" i="3" s="1"/>
  <c r="G287" i="3"/>
  <c r="D286" i="3"/>
  <c r="G284" i="3" s="1"/>
  <c r="B286" i="3"/>
  <c r="F284" i="3" s="1"/>
  <c r="L285" i="3"/>
  <c r="D283" i="3"/>
  <c r="G281" i="3" s="1"/>
  <c r="B283" i="3"/>
  <c r="F281" i="3" s="1"/>
  <c r="D280" i="3"/>
  <c r="G278" i="3" s="1"/>
  <c r="B280" i="3"/>
  <c r="F278" i="3" s="1"/>
  <c r="D277" i="3"/>
  <c r="G275" i="3" s="1"/>
  <c r="B277" i="3"/>
  <c r="F275" i="3" s="1"/>
  <c r="H275" i="3" s="1"/>
  <c r="D273" i="3"/>
  <c r="G271" i="3" s="1"/>
  <c r="B273" i="3"/>
  <c r="F271" i="3" s="1"/>
  <c r="D270" i="3"/>
  <c r="G268" i="3" s="1"/>
  <c r="B270" i="3"/>
  <c r="F268" i="3"/>
  <c r="D267" i="3"/>
  <c r="B267" i="3"/>
  <c r="F265" i="3" s="1"/>
  <c r="G265" i="3"/>
  <c r="D264" i="3"/>
  <c r="B264" i="3"/>
  <c r="F262" i="3" s="1"/>
  <c r="H262" i="3" s="1"/>
  <c r="G262" i="3"/>
  <c r="D261" i="3"/>
  <c r="G259" i="3" s="1"/>
  <c r="B261" i="3"/>
  <c r="M260" i="3"/>
  <c r="F259" i="3"/>
  <c r="H259" i="3" s="1"/>
  <c r="D258" i="3"/>
  <c r="B258" i="3"/>
  <c r="F256" i="3" s="1"/>
  <c r="G256" i="3"/>
  <c r="D255" i="3"/>
  <c r="B255" i="3"/>
  <c r="G253" i="3"/>
  <c r="F253" i="3"/>
  <c r="H253" i="3" s="1"/>
  <c r="D252" i="3"/>
  <c r="G250" i="3" s="1"/>
  <c r="B252" i="3"/>
  <c r="F250" i="3" s="1"/>
  <c r="H250" i="3" s="1"/>
  <c r="D248" i="3"/>
  <c r="G246" i="3" s="1"/>
  <c r="B248" i="3"/>
  <c r="F246" i="3" s="1"/>
  <c r="D245" i="3"/>
  <c r="B245" i="3"/>
  <c r="G243" i="3"/>
  <c r="F243" i="3"/>
  <c r="H243" i="3" s="1"/>
  <c r="D242" i="3"/>
  <c r="G240" i="3" s="1"/>
  <c r="B242" i="3"/>
  <c r="F240" i="3" s="1"/>
  <c r="H240" i="3" s="1"/>
  <c r="D239" i="3"/>
  <c r="G237" i="3" s="1"/>
  <c r="B239" i="3"/>
  <c r="F237" i="3" s="1"/>
  <c r="D236" i="3"/>
  <c r="G234" i="3" s="1"/>
  <c r="B236" i="3"/>
  <c r="F234" i="3"/>
  <c r="H234" i="3" s="1"/>
  <c r="M233" i="3"/>
  <c r="D233" i="3"/>
  <c r="G231" i="3" s="1"/>
  <c r="B233" i="3"/>
  <c r="F231" i="3" s="1"/>
  <c r="D230" i="3"/>
  <c r="B230" i="3"/>
  <c r="F228" i="3" s="1"/>
  <c r="G228" i="3"/>
  <c r="D222" i="3"/>
  <c r="G220" i="3" s="1"/>
  <c r="B222" i="3"/>
  <c r="F220" i="3" s="1"/>
  <c r="H220" i="3" s="1"/>
  <c r="D219" i="3"/>
  <c r="G217" i="3" s="1"/>
  <c r="B219" i="3"/>
  <c r="F217" i="3" s="1"/>
  <c r="H217" i="3" s="1"/>
  <c r="D216" i="3"/>
  <c r="B216" i="3"/>
  <c r="G214" i="3"/>
  <c r="F214" i="3"/>
  <c r="H214" i="3" s="1"/>
  <c r="D213" i="3"/>
  <c r="B213" i="3"/>
  <c r="F211" i="3" s="1"/>
  <c r="G211" i="3"/>
  <c r="D210" i="3"/>
  <c r="G208" i="3" s="1"/>
  <c r="B210" i="3"/>
  <c r="F208" i="3" s="1"/>
  <c r="M209" i="3"/>
  <c r="D207" i="3"/>
  <c r="B207" i="3"/>
  <c r="G205" i="3"/>
  <c r="F205" i="3"/>
  <c r="D204" i="3"/>
  <c r="G202" i="3" s="1"/>
  <c r="B204" i="3"/>
  <c r="F202" i="3" s="1"/>
  <c r="H202" i="3" s="1"/>
  <c r="D201" i="3"/>
  <c r="G199" i="3" s="1"/>
  <c r="B201" i="3"/>
  <c r="F199" i="3" s="1"/>
  <c r="H199" i="3" s="1"/>
  <c r="D196" i="3"/>
  <c r="B196" i="3"/>
  <c r="G194" i="3"/>
  <c r="F194" i="3"/>
  <c r="H194" i="3" s="1"/>
  <c r="D193" i="3"/>
  <c r="G191" i="3" s="1"/>
  <c r="B193" i="3"/>
  <c r="F191" i="3" s="1"/>
  <c r="D190" i="3"/>
  <c r="B190" i="3"/>
  <c r="F188" i="3" s="1"/>
  <c r="H188" i="3" s="1"/>
  <c r="G188" i="3"/>
  <c r="D187" i="3"/>
  <c r="G185" i="3" s="1"/>
  <c r="B187" i="3"/>
  <c r="F185" i="3" s="1"/>
  <c r="H185" i="3" s="1"/>
  <c r="D184" i="3"/>
  <c r="G182" i="3" s="1"/>
  <c r="B184" i="3"/>
  <c r="F182" i="3" s="1"/>
  <c r="H182" i="3" s="1"/>
  <c r="M182" i="3"/>
  <c r="D181" i="3"/>
  <c r="B181" i="3"/>
  <c r="F179" i="3" s="1"/>
  <c r="G179" i="3"/>
  <c r="D178" i="3"/>
  <c r="B178" i="3"/>
  <c r="G176" i="3"/>
  <c r="F176" i="3"/>
  <c r="H176" i="3" s="1"/>
  <c r="D175" i="3"/>
  <c r="G173" i="3" s="1"/>
  <c r="B175" i="3"/>
  <c r="F173" i="3" s="1"/>
  <c r="D170" i="3"/>
  <c r="G168" i="3" s="1"/>
  <c r="B170" i="3"/>
  <c r="F168" i="3" s="1"/>
  <c r="D167" i="3"/>
  <c r="B167" i="3"/>
  <c r="G165" i="3"/>
  <c r="F165" i="3"/>
  <c r="D164" i="3"/>
  <c r="G162" i="3" s="1"/>
  <c r="B164" i="3"/>
  <c r="F162" i="3" s="1"/>
  <c r="H162" i="3" s="1"/>
  <c r="D161" i="3"/>
  <c r="B161" i="3"/>
  <c r="G159" i="3"/>
  <c r="F159" i="3"/>
  <c r="H159" i="3" s="1"/>
  <c r="D158" i="3"/>
  <c r="G156" i="3" s="1"/>
  <c r="B158" i="3"/>
  <c r="F156" i="3"/>
  <c r="H156" i="3" s="1"/>
  <c r="D155" i="3"/>
  <c r="G153" i="3" s="1"/>
  <c r="B155" i="3"/>
  <c r="F153" i="3" s="1"/>
  <c r="M153" i="3"/>
  <c r="D152" i="3"/>
  <c r="B152" i="3"/>
  <c r="G150" i="3"/>
  <c r="F150" i="3"/>
  <c r="D149" i="3"/>
  <c r="G147" i="3" s="1"/>
  <c r="B149" i="3"/>
  <c r="F147" i="3" s="1"/>
  <c r="D144" i="3"/>
  <c r="B144" i="3"/>
  <c r="F142" i="3" s="1"/>
  <c r="G142" i="3"/>
  <c r="D141" i="3"/>
  <c r="B141" i="3"/>
  <c r="G139" i="3"/>
  <c r="F139" i="3"/>
  <c r="H139" i="3" s="1"/>
  <c r="D138" i="3"/>
  <c r="G136" i="3" s="1"/>
  <c r="B138" i="3"/>
  <c r="F136" i="3" s="1"/>
  <c r="D135" i="3"/>
  <c r="B135" i="3"/>
  <c r="G133" i="3"/>
  <c r="F133" i="3"/>
  <c r="H133" i="3" s="1"/>
  <c r="D132" i="3"/>
  <c r="G130" i="3" s="1"/>
  <c r="B132" i="3"/>
  <c r="F130" i="3"/>
  <c r="D129" i="3"/>
  <c r="G127" i="3" s="1"/>
  <c r="B129" i="3"/>
  <c r="F127" i="3" s="1"/>
  <c r="H127" i="3" s="1"/>
  <c r="M127" i="3"/>
  <c r="D126" i="3"/>
  <c r="G124" i="3" s="1"/>
  <c r="B126" i="3"/>
  <c r="F124" i="3" s="1"/>
  <c r="H124" i="3" s="1"/>
  <c r="D123" i="3"/>
  <c r="B123" i="3"/>
  <c r="G121" i="3"/>
  <c r="F121" i="3"/>
  <c r="H121" i="3" s="1"/>
  <c r="D115" i="3"/>
  <c r="G113" i="3" s="1"/>
  <c r="B115" i="3"/>
  <c r="F113" i="3" s="1"/>
  <c r="D112" i="3"/>
  <c r="B112" i="3"/>
  <c r="G110" i="3"/>
  <c r="F110" i="3"/>
  <c r="D109" i="3"/>
  <c r="G107" i="3" s="1"/>
  <c r="B109" i="3"/>
  <c r="F107" i="3" s="1"/>
  <c r="D106" i="3"/>
  <c r="B106" i="3"/>
  <c r="F104" i="3" s="1"/>
  <c r="G104" i="3"/>
  <c r="D103" i="3"/>
  <c r="B103" i="3"/>
  <c r="F101" i="3" s="1"/>
  <c r="G101" i="3"/>
  <c r="D100" i="3"/>
  <c r="G98" i="3" s="1"/>
  <c r="B100" i="3"/>
  <c r="F98" i="3"/>
  <c r="D97" i="3"/>
  <c r="G95" i="3" s="1"/>
  <c r="B97" i="3"/>
  <c r="F95" i="3" s="1"/>
  <c r="H95" i="3" s="1"/>
  <c r="D94" i="3"/>
  <c r="G92" i="3" s="1"/>
  <c r="B94" i="3"/>
  <c r="F92" i="3" s="1"/>
  <c r="H92" i="3" s="1"/>
  <c r="M92" i="3"/>
  <c r="D91" i="3"/>
  <c r="G89" i="3" s="1"/>
  <c r="B91" i="3"/>
  <c r="F89" i="3"/>
  <c r="H89" i="3" s="1"/>
  <c r="D86" i="3"/>
  <c r="G84" i="3" s="1"/>
  <c r="B86" i="3"/>
  <c r="F84" i="3" s="1"/>
  <c r="H84" i="3" s="1"/>
  <c r="D83" i="3"/>
  <c r="G81" i="3" s="1"/>
  <c r="B83" i="3"/>
  <c r="F81" i="3"/>
  <c r="D80" i="3"/>
  <c r="G78" i="3" s="1"/>
  <c r="B80" i="3"/>
  <c r="F78" i="3" s="1"/>
  <c r="H78" i="3" s="1"/>
  <c r="D77" i="3"/>
  <c r="G75" i="3" s="1"/>
  <c r="B77" i="3"/>
  <c r="F75" i="3" s="1"/>
  <c r="H75" i="3" s="1"/>
  <c r="D74" i="3"/>
  <c r="G72" i="3" s="1"/>
  <c r="B74" i="3"/>
  <c r="F72" i="3"/>
  <c r="D71" i="3"/>
  <c r="G69" i="3" s="1"/>
  <c r="B71" i="3"/>
  <c r="F69" i="3" s="1"/>
  <c r="H69" i="3" s="1"/>
  <c r="M69" i="3"/>
  <c r="D68" i="3"/>
  <c r="G66" i="3" s="1"/>
  <c r="B68" i="3"/>
  <c r="F66" i="3" s="1"/>
  <c r="D65" i="3"/>
  <c r="B65" i="3"/>
  <c r="G63" i="3"/>
  <c r="F63" i="3"/>
  <c r="H63" i="3" s="1"/>
  <c r="D62" i="3"/>
  <c r="B62" i="3"/>
  <c r="F60" i="3" s="1"/>
  <c r="H60" i="3" s="1"/>
  <c r="G60" i="3"/>
  <c r="D58" i="3"/>
  <c r="B58" i="3"/>
  <c r="F56" i="3" s="1"/>
  <c r="G56" i="3"/>
  <c r="D55" i="3"/>
  <c r="G53" i="3" s="1"/>
  <c r="B55" i="3"/>
  <c r="F53" i="3" s="1"/>
  <c r="H53" i="3" s="1"/>
  <c r="D52" i="3"/>
  <c r="G50" i="3" s="1"/>
  <c r="B52" i="3"/>
  <c r="F50" i="3" s="1"/>
  <c r="D49" i="3"/>
  <c r="G47" i="3" s="1"/>
  <c r="B49" i="3"/>
  <c r="F47" i="3"/>
  <c r="D46" i="3"/>
  <c r="G44" i="3" s="1"/>
  <c r="B46" i="3"/>
  <c r="F44" i="3" s="1"/>
  <c r="H44" i="3" s="1"/>
  <c r="D43" i="3"/>
  <c r="G41" i="3" s="1"/>
  <c r="B43" i="3"/>
  <c r="F41" i="3" s="1"/>
  <c r="D40" i="3"/>
  <c r="B40" i="3"/>
  <c r="M39" i="3"/>
  <c r="G38" i="3"/>
  <c r="F38" i="3"/>
  <c r="D37" i="3"/>
  <c r="G35" i="3" s="1"/>
  <c r="B37" i="3"/>
  <c r="F35" i="3" s="1"/>
  <c r="D33" i="3"/>
  <c r="G31" i="3" s="1"/>
  <c r="B33" i="3"/>
  <c r="F31" i="3" s="1"/>
  <c r="D30" i="3"/>
  <c r="B30" i="3"/>
  <c r="G28" i="3"/>
  <c r="F28" i="3"/>
  <c r="D27" i="3"/>
  <c r="G25" i="3" s="1"/>
  <c r="B27" i="3"/>
  <c r="F25" i="3" s="1"/>
  <c r="H25" i="3" s="1"/>
  <c r="D24" i="3"/>
  <c r="B24" i="3"/>
  <c r="F22" i="3" s="1"/>
  <c r="H22" i="3" s="1"/>
  <c r="G22" i="3"/>
  <c r="D21" i="3"/>
  <c r="G19" i="3" s="1"/>
  <c r="B21" i="3"/>
  <c r="F19" i="3" s="1"/>
  <c r="H19" i="3" s="1"/>
  <c r="D18" i="3"/>
  <c r="G16" i="3" s="1"/>
  <c r="B18" i="3"/>
  <c r="F16" i="3" s="1"/>
  <c r="H16" i="3" s="1"/>
  <c r="D15" i="3"/>
  <c r="G13" i="3" s="1"/>
  <c r="B15" i="3"/>
  <c r="F13" i="3" s="1"/>
  <c r="H13" i="3" s="1"/>
  <c r="M12" i="3"/>
  <c r="D12" i="3"/>
  <c r="G10" i="3" s="1"/>
  <c r="B12" i="3"/>
  <c r="F10" i="3"/>
  <c r="H10" i="3" s="1"/>
  <c r="H278" i="3" l="1"/>
  <c r="H107" i="3"/>
  <c r="H168" i="3"/>
  <c r="H35" i="3"/>
  <c r="H231" i="3"/>
  <c r="H101" i="3"/>
  <c r="H179" i="3"/>
  <c r="H256" i="3"/>
  <c r="H287" i="3"/>
  <c r="H28" i="3"/>
  <c r="H38" i="3"/>
  <c r="H110" i="3"/>
  <c r="H150" i="3"/>
  <c r="H165" i="3"/>
  <c r="H173" i="3"/>
  <c r="H205" i="3"/>
  <c r="H211" i="3"/>
  <c r="H271" i="3"/>
  <c r="H296" i="3"/>
  <c r="H315" i="3"/>
  <c r="H104" i="3"/>
  <c r="H265" i="3"/>
  <c r="H281" i="3"/>
  <c r="H300" i="3"/>
  <c r="H72" i="3"/>
  <c r="H81" i="3"/>
  <c r="H130" i="3"/>
  <c r="H142" i="3"/>
  <c r="H290" i="3"/>
  <c r="H56" i="3"/>
  <c r="H228" i="3"/>
  <c r="H309" i="3"/>
  <c r="H47" i="3"/>
  <c r="H237" i="3"/>
  <c r="H98" i="3"/>
  <c r="H191" i="3"/>
  <c r="H31" i="3"/>
  <c r="H113" i="3"/>
  <c r="H136" i="3"/>
  <c r="H268" i="3"/>
  <c r="H284" i="3"/>
  <c r="H293" i="3"/>
  <c r="H303" i="3"/>
  <c r="H318" i="3"/>
  <c r="H41" i="3"/>
  <c r="H50" i="3"/>
  <c r="H66" i="3"/>
  <c r="H147" i="3"/>
  <c r="H153" i="3"/>
  <c r="H208" i="3"/>
  <c r="H246" i="3"/>
  <c r="D294" i="2" l="1"/>
  <c r="F294" i="2" s="1"/>
  <c r="D292" i="2"/>
  <c r="F292" i="2" s="1"/>
  <c r="G292" i="2" s="1"/>
  <c r="D290" i="2"/>
  <c r="F290" i="2" s="1"/>
  <c r="D288" i="2"/>
  <c r="F288" i="2" s="1"/>
  <c r="D286" i="2"/>
  <c r="F286" i="2" s="1"/>
  <c r="D284" i="2"/>
  <c r="F284" i="2" s="1"/>
  <c r="G284" i="2" s="1"/>
  <c r="D282" i="2"/>
  <c r="F282" i="2" s="1"/>
  <c r="D280" i="2"/>
  <c r="F280" i="2" s="1"/>
  <c r="D278" i="2"/>
  <c r="F278" i="2" s="1"/>
  <c r="D276" i="2"/>
  <c r="F276" i="2" s="1"/>
  <c r="G276" i="2" s="1"/>
  <c r="D274" i="2"/>
  <c r="F274" i="2" s="1"/>
  <c r="D272" i="2"/>
  <c r="F272" i="2" s="1"/>
  <c r="G272" i="2" s="1"/>
  <c r="D270" i="2"/>
  <c r="F270" i="2" s="1"/>
  <c r="D268" i="2"/>
  <c r="F268" i="2" s="1"/>
  <c r="D266" i="2"/>
  <c r="F266" i="2" s="1"/>
  <c r="D264" i="2"/>
  <c r="F264" i="2" s="1"/>
  <c r="D262" i="2"/>
  <c r="F262" i="2" s="1"/>
  <c r="D260" i="2"/>
  <c r="F260" i="2" s="1"/>
  <c r="G260" i="2" s="1"/>
  <c r="D256" i="2"/>
  <c r="F256" i="2" s="1"/>
  <c r="D254" i="2"/>
  <c r="F254" i="2" s="1"/>
  <c r="D252" i="2"/>
  <c r="F252" i="2" s="1"/>
  <c r="D250" i="2"/>
  <c r="F250" i="2" s="1"/>
  <c r="G250" i="2" s="1"/>
  <c r="D248" i="2"/>
  <c r="F248" i="2" s="1"/>
  <c r="D246" i="2"/>
  <c r="F246" i="2" s="1"/>
  <c r="D244" i="2"/>
  <c r="F244" i="2" s="1"/>
  <c r="D242" i="2"/>
  <c r="F242" i="2" s="1"/>
  <c r="D240" i="2"/>
  <c r="F240" i="2" s="1"/>
  <c r="D238" i="2"/>
  <c r="F238" i="2" s="1"/>
  <c r="G238" i="2" s="1"/>
  <c r="D236" i="2"/>
  <c r="F236" i="2" s="1"/>
  <c r="D234" i="2"/>
  <c r="F234" i="2" s="1"/>
  <c r="D232" i="2"/>
  <c r="F232" i="2" s="1"/>
  <c r="D230" i="2"/>
  <c r="F230" i="2" s="1"/>
  <c r="D228" i="2"/>
  <c r="F228" i="2" s="1"/>
  <c r="D226" i="2"/>
  <c r="F226" i="2" s="1"/>
  <c r="G226" i="2" s="1"/>
  <c r="D224" i="2"/>
  <c r="F224" i="2" s="1"/>
  <c r="D222" i="2"/>
  <c r="F222" i="2" s="1"/>
  <c r="D218" i="2"/>
  <c r="F218" i="2" s="1"/>
  <c r="D216" i="2"/>
  <c r="F216" i="2" s="1"/>
  <c r="G216" i="2" s="1"/>
  <c r="D214" i="2"/>
  <c r="F214" i="2" s="1"/>
  <c r="D212" i="2"/>
  <c r="F212" i="2" s="1"/>
  <c r="D210" i="2"/>
  <c r="F210" i="2" s="1"/>
  <c r="D208" i="2"/>
  <c r="F208" i="2" s="1"/>
  <c r="D206" i="2"/>
  <c r="F206" i="2" s="1"/>
  <c r="D204" i="2"/>
  <c r="F204" i="2" s="1"/>
  <c r="D202" i="2"/>
  <c r="F202" i="2" s="1"/>
  <c r="F200" i="2"/>
  <c r="D200" i="2"/>
  <c r="D198" i="2"/>
  <c r="F198" i="2" s="1"/>
  <c r="D196" i="2"/>
  <c r="F196" i="2" s="1"/>
  <c r="D194" i="2"/>
  <c r="F194" i="2" s="1"/>
  <c r="D192" i="2"/>
  <c r="F192" i="2" s="1"/>
  <c r="G192" i="2" s="1"/>
  <c r="D190" i="2"/>
  <c r="F190" i="2" s="1"/>
  <c r="D188" i="2"/>
  <c r="F188" i="2" s="1"/>
  <c r="D186" i="2"/>
  <c r="F186" i="2" s="1"/>
  <c r="D184" i="2"/>
  <c r="F184" i="2" s="1"/>
  <c r="D180" i="2"/>
  <c r="F180" i="2" s="1"/>
  <c r="D178" i="2"/>
  <c r="F178" i="2" s="1"/>
  <c r="D176" i="2"/>
  <c r="F176" i="2" s="1"/>
  <c r="D174" i="2"/>
  <c r="F174" i="2" s="1"/>
  <c r="D172" i="2"/>
  <c r="F172" i="2" s="1"/>
  <c r="D170" i="2"/>
  <c r="F170" i="2" s="1"/>
  <c r="D168" i="2"/>
  <c r="F168" i="2" s="1"/>
  <c r="F166" i="2"/>
  <c r="D166" i="2"/>
  <c r="D164" i="2"/>
  <c r="F164" i="2" s="1"/>
  <c r="D162" i="2"/>
  <c r="F162" i="2" s="1"/>
  <c r="P160" i="2"/>
  <c r="O160" i="2"/>
  <c r="N160" i="2"/>
  <c r="M160" i="2"/>
  <c r="D160" i="2"/>
  <c r="F160" i="2" s="1"/>
  <c r="G158" i="2" s="1"/>
  <c r="F158" i="2"/>
  <c r="D158" i="2"/>
  <c r="F156" i="2"/>
  <c r="D156" i="2"/>
  <c r="D154" i="2"/>
  <c r="F154" i="2" s="1"/>
  <c r="D152" i="2"/>
  <c r="F152" i="2" s="1"/>
  <c r="F150" i="2"/>
  <c r="D150" i="2"/>
  <c r="D148" i="2"/>
  <c r="F148" i="2" s="1"/>
  <c r="F146" i="2"/>
  <c r="D146" i="2"/>
  <c r="D144" i="2"/>
  <c r="F144" i="2" s="1"/>
  <c r="D142" i="2"/>
  <c r="F142" i="2" s="1"/>
  <c r="G142" i="2" s="1"/>
  <c r="F134" i="2"/>
  <c r="H134" i="2" s="1"/>
  <c r="F132" i="2"/>
  <c r="H132" i="2" s="1"/>
  <c r="F130" i="2"/>
  <c r="H130" i="2" s="1"/>
  <c r="F128" i="2"/>
  <c r="H128" i="2" s="1"/>
  <c r="I128" i="2" s="1"/>
  <c r="F126" i="2"/>
  <c r="H126" i="2" s="1"/>
  <c r="F124" i="2"/>
  <c r="H124" i="2" s="1"/>
  <c r="F122" i="2"/>
  <c r="H122" i="2" s="1"/>
  <c r="F120" i="2"/>
  <c r="H120" i="2" s="1"/>
  <c r="I120" i="2" s="1"/>
  <c r="H118" i="2"/>
  <c r="F118" i="2"/>
  <c r="F116" i="2"/>
  <c r="H116" i="2" s="1"/>
  <c r="F114" i="2"/>
  <c r="H114" i="2" s="1"/>
  <c r="H112" i="2"/>
  <c r="I112" i="2" s="1"/>
  <c r="F112" i="2"/>
  <c r="F110" i="2"/>
  <c r="H110" i="2" s="1"/>
  <c r="F108" i="2"/>
  <c r="H108" i="2" s="1"/>
  <c r="I108" i="2" s="1"/>
  <c r="F105" i="2"/>
  <c r="H105" i="2" s="1"/>
  <c r="F103" i="2"/>
  <c r="H103" i="2" s="1"/>
  <c r="F101" i="2"/>
  <c r="H101" i="2" s="1"/>
  <c r="F99" i="2"/>
  <c r="H99" i="2" s="1"/>
  <c r="H97" i="2"/>
  <c r="F97" i="2"/>
  <c r="F95" i="2"/>
  <c r="H95" i="2" s="1"/>
  <c r="I95" i="2" s="1"/>
  <c r="F93" i="2"/>
  <c r="H93" i="2" s="1"/>
  <c r="H91" i="2"/>
  <c r="F91" i="2"/>
  <c r="F89" i="2"/>
  <c r="H89" i="2" s="1"/>
  <c r="N87" i="2"/>
  <c r="M87" i="2"/>
  <c r="L87" i="2"/>
  <c r="K87" i="2"/>
  <c r="F87" i="2"/>
  <c r="H87" i="2" s="1"/>
  <c r="F85" i="2"/>
  <c r="H85" i="2" s="1"/>
  <c r="F83" i="2"/>
  <c r="H83" i="2" s="1"/>
  <c r="F81" i="2"/>
  <c r="H81" i="2" s="1"/>
  <c r="F79" i="2"/>
  <c r="H79" i="2" s="1"/>
  <c r="F77" i="2"/>
  <c r="H77" i="2" s="1"/>
  <c r="F75" i="2"/>
  <c r="H75" i="2" s="1"/>
  <c r="H72" i="2"/>
  <c r="F72" i="2"/>
  <c r="F70" i="2"/>
  <c r="H70" i="2" s="1"/>
  <c r="H68" i="2"/>
  <c r="F68" i="2"/>
  <c r="F66" i="2"/>
  <c r="H66" i="2" s="1"/>
  <c r="I66" i="2" s="1"/>
  <c r="F64" i="2"/>
  <c r="H64" i="2" s="1"/>
  <c r="F62" i="2"/>
  <c r="H62" i="2" s="1"/>
  <c r="I62" i="2" s="1"/>
  <c r="F60" i="2"/>
  <c r="H60" i="2" s="1"/>
  <c r="F58" i="2"/>
  <c r="H58" i="2" s="1"/>
  <c r="I58" i="2" s="1"/>
  <c r="F56" i="2"/>
  <c r="H56" i="2" s="1"/>
  <c r="F54" i="2"/>
  <c r="H54" i="2" s="1"/>
  <c r="I54" i="2" s="1"/>
  <c r="F52" i="2"/>
  <c r="H52" i="2" s="1"/>
  <c r="F50" i="2"/>
  <c r="H50" i="2" s="1"/>
  <c r="F48" i="2"/>
  <c r="H48" i="2" s="1"/>
  <c r="F46" i="2"/>
  <c r="H46" i="2" s="1"/>
  <c r="F44" i="2"/>
  <c r="H44" i="2" s="1"/>
  <c r="F42" i="2"/>
  <c r="H42" i="2" s="1"/>
  <c r="F39" i="2"/>
  <c r="H39" i="2" s="1"/>
  <c r="F37" i="2"/>
  <c r="H37" i="2" s="1"/>
  <c r="F35" i="2"/>
  <c r="H35" i="2" s="1"/>
  <c r="H33" i="2"/>
  <c r="F33" i="2"/>
  <c r="F31" i="2"/>
  <c r="H31" i="2" s="1"/>
  <c r="F29" i="2"/>
  <c r="H29" i="2" s="1"/>
  <c r="I29" i="2" s="1"/>
  <c r="F27" i="2"/>
  <c r="H27" i="2" s="1"/>
  <c r="F25" i="2"/>
  <c r="H25" i="2" s="1"/>
  <c r="F23" i="2"/>
  <c r="H23" i="2" s="1"/>
  <c r="F21" i="2"/>
  <c r="H21" i="2" s="1"/>
  <c r="I21" i="2" s="1"/>
  <c r="F19" i="2"/>
  <c r="H19" i="2" s="1"/>
  <c r="F17" i="2"/>
  <c r="H17" i="2" s="1"/>
  <c r="I17" i="2" s="1"/>
  <c r="F15" i="2"/>
  <c r="H15" i="2" s="1"/>
  <c r="F13" i="2"/>
  <c r="H13" i="2" s="1"/>
  <c r="F11" i="2"/>
  <c r="H11" i="2" s="1"/>
  <c r="F9" i="2"/>
  <c r="H9" i="2" s="1"/>
  <c r="I87" i="2" l="1"/>
  <c r="G166" i="2"/>
  <c r="G174" i="2"/>
  <c r="G200" i="2"/>
  <c r="G208" i="2"/>
  <c r="I91" i="2"/>
  <c r="G178" i="2"/>
  <c r="G212" i="2"/>
  <c r="I75" i="2"/>
  <c r="G154" i="2"/>
  <c r="I79" i="2"/>
  <c r="I124" i="2"/>
  <c r="G170" i="2"/>
  <c r="G204" i="2"/>
  <c r="G288" i="2"/>
  <c r="I42" i="2"/>
  <c r="G264" i="2"/>
  <c r="I33" i="2"/>
  <c r="I46" i="2"/>
  <c r="I70" i="2"/>
  <c r="G146" i="2"/>
  <c r="G254" i="2"/>
  <c r="G268" i="2"/>
  <c r="G280" i="2"/>
  <c r="I9" i="2"/>
  <c r="I25" i="2"/>
  <c r="I83" i="2"/>
  <c r="I116" i="2"/>
  <c r="G162" i="2"/>
  <c r="G196" i="2"/>
  <c r="G230" i="2"/>
  <c r="G242" i="2"/>
  <c r="I13" i="2"/>
  <c r="I37" i="2"/>
  <c r="I103" i="2"/>
  <c r="I132" i="2"/>
  <c r="G150" i="2"/>
  <c r="G188" i="2"/>
  <c r="G222" i="2"/>
  <c r="G234" i="2"/>
  <c r="G246" i="2"/>
  <c r="G184" i="2"/>
  <c r="I99" i="2"/>
  <c r="I50" i="2"/>
  <c r="N323" i="1"/>
  <c r="M323" i="1"/>
  <c r="L323" i="1"/>
  <c r="N322" i="1"/>
  <c r="M322" i="1"/>
  <c r="L322" i="1"/>
  <c r="C318" i="1"/>
  <c r="F318" i="1" s="1"/>
  <c r="C317" i="1"/>
  <c r="F317" i="1" s="1"/>
  <c r="C316" i="1"/>
  <c r="F316" i="1" s="1"/>
  <c r="C315" i="1"/>
  <c r="F315" i="1" s="1"/>
  <c r="C314" i="1"/>
  <c r="F314" i="1" s="1"/>
  <c r="C313" i="1"/>
  <c r="F313" i="1" s="1"/>
  <c r="C312" i="1"/>
  <c r="F312" i="1" s="1"/>
  <c r="C311" i="1"/>
  <c r="F311" i="1" s="1"/>
  <c r="F310" i="1"/>
  <c r="C310" i="1"/>
  <c r="C309" i="1"/>
  <c r="F309" i="1" s="1"/>
  <c r="H309" i="1" s="1"/>
  <c r="M308" i="1"/>
  <c r="F308" i="1"/>
  <c r="C308" i="1"/>
  <c r="C307" i="1"/>
  <c r="F307" i="1" s="1"/>
  <c r="F306" i="1"/>
  <c r="C306" i="1"/>
  <c r="F305" i="1"/>
  <c r="H305" i="1" s="1"/>
  <c r="C305" i="1"/>
  <c r="F303" i="1"/>
  <c r="C303" i="1"/>
  <c r="C302" i="1"/>
  <c r="F302" i="1" s="1"/>
  <c r="H302" i="1" s="1"/>
  <c r="C301" i="1"/>
  <c r="F301" i="1" s="1"/>
  <c r="F300" i="1"/>
  <c r="C300" i="1"/>
  <c r="C299" i="1"/>
  <c r="F299" i="1" s="1"/>
  <c r="C298" i="1"/>
  <c r="F298" i="1" s="1"/>
  <c r="H298" i="1" s="1"/>
  <c r="C297" i="1"/>
  <c r="F297" i="1" s="1"/>
  <c r="C296" i="1"/>
  <c r="F296" i="1" s="1"/>
  <c r="C295" i="1"/>
  <c r="F295" i="1" s="1"/>
  <c r="C294" i="1"/>
  <c r="F294" i="1" s="1"/>
  <c r="H294" i="1" s="1"/>
  <c r="C293" i="1"/>
  <c r="F293" i="1" s="1"/>
  <c r="C292" i="1"/>
  <c r="F292" i="1" s="1"/>
  <c r="M291" i="1"/>
  <c r="C291" i="1"/>
  <c r="F291" i="1" s="1"/>
  <c r="C290" i="1"/>
  <c r="F290" i="1" s="1"/>
  <c r="H290" i="1" s="1"/>
  <c r="C288" i="1"/>
  <c r="F288" i="1" s="1"/>
  <c r="C287" i="1"/>
  <c r="F287" i="1" s="1"/>
  <c r="H287" i="1" s="1"/>
  <c r="C286" i="1"/>
  <c r="F286" i="1" s="1"/>
  <c r="C285" i="1"/>
  <c r="F285" i="1" s="1"/>
  <c r="F284" i="1"/>
  <c r="C284" i="1"/>
  <c r="C283" i="1"/>
  <c r="F283" i="1" s="1"/>
  <c r="H283" i="1" s="1"/>
  <c r="F282" i="1"/>
  <c r="C282" i="1"/>
  <c r="F281" i="1"/>
  <c r="H281" i="1" s="1"/>
  <c r="C281" i="1"/>
  <c r="F280" i="1"/>
  <c r="C280" i="1"/>
  <c r="C279" i="1"/>
  <c r="F279" i="1" s="1"/>
  <c r="H279" i="1" s="1"/>
  <c r="M278" i="1"/>
  <c r="C278" i="1"/>
  <c r="F278" i="1" s="1"/>
  <c r="C277" i="1"/>
  <c r="F277" i="1" s="1"/>
  <c r="F276" i="1"/>
  <c r="C276" i="1"/>
  <c r="F275" i="1"/>
  <c r="H275" i="1" s="1"/>
  <c r="C275" i="1"/>
  <c r="C272" i="1"/>
  <c r="F272" i="1" s="1"/>
  <c r="C271" i="1"/>
  <c r="F271" i="1" s="1"/>
  <c r="H271" i="1" s="1"/>
  <c r="C270" i="1"/>
  <c r="F270" i="1" s="1"/>
  <c r="F269" i="1"/>
  <c r="C269" i="1"/>
  <c r="C268" i="1"/>
  <c r="F268" i="1" s="1"/>
  <c r="F267" i="1"/>
  <c r="H267" i="1" s="1"/>
  <c r="C267" i="1"/>
  <c r="C266" i="1"/>
  <c r="F266" i="1" s="1"/>
  <c r="C265" i="1"/>
  <c r="F265" i="1" s="1"/>
  <c r="C264" i="1"/>
  <c r="F264" i="1" s="1"/>
  <c r="C263" i="1"/>
  <c r="F263" i="1" s="1"/>
  <c r="H263" i="1" s="1"/>
  <c r="C262" i="1"/>
  <c r="F262" i="1" s="1"/>
  <c r="M261" i="1"/>
  <c r="F261" i="1"/>
  <c r="H261" i="1" s="1"/>
  <c r="C261" i="1"/>
  <c r="C260" i="1"/>
  <c r="F260" i="1" s="1"/>
  <c r="C259" i="1"/>
  <c r="F259" i="1" s="1"/>
  <c r="C257" i="1"/>
  <c r="F257" i="1" s="1"/>
  <c r="C256" i="1"/>
  <c r="F256" i="1" s="1"/>
  <c r="H256" i="1" s="1"/>
  <c r="C255" i="1"/>
  <c r="F255" i="1" s="1"/>
  <c r="C254" i="1"/>
  <c r="F254" i="1" s="1"/>
  <c r="H254" i="1" s="1"/>
  <c r="F253" i="1"/>
  <c r="C253" i="1"/>
  <c r="C252" i="1"/>
  <c r="F252" i="1" s="1"/>
  <c r="H252" i="1" s="1"/>
  <c r="C251" i="1"/>
  <c r="F251" i="1" s="1"/>
  <c r="C250" i="1"/>
  <c r="F250" i="1" s="1"/>
  <c r="C249" i="1"/>
  <c r="F249" i="1" s="1"/>
  <c r="C248" i="1"/>
  <c r="F248" i="1" s="1"/>
  <c r="H248" i="1" s="1"/>
  <c r="C247" i="1"/>
  <c r="F247" i="1" s="1"/>
  <c r="F246" i="1"/>
  <c r="C246" i="1"/>
  <c r="M245" i="1"/>
  <c r="F245" i="1"/>
  <c r="C245" i="1"/>
  <c r="C244" i="1"/>
  <c r="F244" i="1" s="1"/>
  <c r="H244" i="1" s="1"/>
  <c r="C242" i="1"/>
  <c r="H241" i="1"/>
  <c r="C241" i="1"/>
  <c r="C240" i="1"/>
  <c r="H239" i="1"/>
  <c r="C239" i="1"/>
  <c r="C238" i="1"/>
  <c r="H237" i="1"/>
  <c r="C237" i="1"/>
  <c r="C236" i="1"/>
  <c r="H235" i="1"/>
  <c r="C235" i="1"/>
  <c r="C234" i="1"/>
  <c r="H233" i="1"/>
  <c r="C233" i="1"/>
  <c r="C232" i="1"/>
  <c r="H231" i="1"/>
  <c r="C231" i="1"/>
  <c r="C230" i="1"/>
  <c r="H229" i="1"/>
  <c r="C229" i="1"/>
  <c r="M226" i="1"/>
  <c r="C222" i="1"/>
  <c r="F222" i="1" s="1"/>
  <c r="C221" i="1"/>
  <c r="F221" i="1" s="1"/>
  <c r="C220" i="1"/>
  <c r="F220" i="1" s="1"/>
  <c r="C219" i="1"/>
  <c r="F219" i="1" s="1"/>
  <c r="C218" i="1"/>
  <c r="F218" i="1" s="1"/>
  <c r="C217" i="1"/>
  <c r="F217" i="1" s="1"/>
  <c r="H217" i="1" s="1"/>
  <c r="C216" i="1"/>
  <c r="F216" i="1" s="1"/>
  <c r="C215" i="1"/>
  <c r="F215" i="1" s="1"/>
  <c r="C214" i="1"/>
  <c r="F214" i="1" s="1"/>
  <c r="F213" i="1"/>
  <c r="C213" i="1"/>
  <c r="C212" i="1"/>
  <c r="F212" i="1" s="1"/>
  <c r="C211" i="1"/>
  <c r="F211" i="1" s="1"/>
  <c r="H211" i="1" s="1"/>
  <c r="C210" i="1"/>
  <c r="F210" i="1" s="1"/>
  <c r="C209" i="1"/>
  <c r="F209" i="1" s="1"/>
  <c r="H209" i="1" s="1"/>
  <c r="C208" i="1"/>
  <c r="F208" i="1" s="1"/>
  <c r="C207" i="1"/>
  <c r="F207" i="1" s="1"/>
  <c r="M206" i="1"/>
  <c r="C206" i="1"/>
  <c r="F206" i="1" s="1"/>
  <c r="C205" i="1"/>
  <c r="F205" i="1" s="1"/>
  <c r="C203" i="1"/>
  <c r="F203" i="1" s="1"/>
  <c r="C202" i="1"/>
  <c r="F202" i="1" s="1"/>
  <c r="C201" i="1"/>
  <c r="F201" i="1" s="1"/>
  <c r="C200" i="1"/>
  <c r="F200" i="1" s="1"/>
  <c r="C199" i="1"/>
  <c r="F199" i="1" s="1"/>
  <c r="C198" i="1"/>
  <c r="F198" i="1" s="1"/>
  <c r="C197" i="1"/>
  <c r="F197" i="1" s="1"/>
  <c r="C196" i="1"/>
  <c r="F196" i="1" s="1"/>
  <c r="C195" i="1"/>
  <c r="F195" i="1" s="1"/>
  <c r="C194" i="1"/>
  <c r="F194" i="1" s="1"/>
  <c r="H194" i="1" s="1"/>
  <c r="C193" i="1"/>
  <c r="F193" i="1" s="1"/>
  <c r="F192" i="1"/>
  <c r="C192" i="1"/>
  <c r="C191" i="1"/>
  <c r="F191" i="1" s="1"/>
  <c r="M190" i="1"/>
  <c r="C190" i="1"/>
  <c r="F190" i="1" s="1"/>
  <c r="F189" i="1"/>
  <c r="C189" i="1"/>
  <c r="F188" i="1"/>
  <c r="H188" i="1" s="1"/>
  <c r="C188" i="1"/>
  <c r="F186" i="1"/>
  <c r="C186" i="1"/>
  <c r="C185" i="1"/>
  <c r="F185" i="1" s="1"/>
  <c r="H185" i="1" s="1"/>
  <c r="C184" i="1"/>
  <c r="F184" i="1" s="1"/>
  <c r="C183" i="1"/>
  <c r="F183" i="1" s="1"/>
  <c r="H183" i="1" s="1"/>
  <c r="C182" i="1"/>
  <c r="F182" i="1" s="1"/>
  <c r="C181" i="1"/>
  <c r="F181" i="1" s="1"/>
  <c r="C180" i="1"/>
  <c r="F180" i="1" s="1"/>
  <c r="C179" i="1"/>
  <c r="F179" i="1" s="1"/>
  <c r="H179" i="1" s="1"/>
  <c r="D178" i="1"/>
  <c r="F178" i="1" s="1"/>
  <c r="H177" i="1" s="1"/>
  <c r="F177" i="1"/>
  <c r="C176" i="1"/>
  <c r="F176" i="1" s="1"/>
  <c r="C175" i="1"/>
  <c r="F175" i="1" s="1"/>
  <c r="H175" i="1" s="1"/>
  <c r="M174" i="1"/>
  <c r="C174" i="1"/>
  <c r="F174" i="1" s="1"/>
  <c r="C173" i="1"/>
  <c r="F173" i="1" s="1"/>
  <c r="H173" i="1" s="1"/>
  <c r="C172" i="1"/>
  <c r="F172" i="1" s="1"/>
  <c r="C171" i="1"/>
  <c r="F171" i="1" s="1"/>
  <c r="H171" i="1" s="1"/>
  <c r="F169" i="1"/>
  <c r="C169" i="1"/>
  <c r="F168" i="1"/>
  <c r="H168" i="1" s="1"/>
  <c r="C168" i="1"/>
  <c r="F167" i="1"/>
  <c r="C167" i="1"/>
  <c r="C166" i="1"/>
  <c r="F166" i="1" s="1"/>
  <c r="H166" i="1" s="1"/>
  <c r="C165" i="1"/>
  <c r="F165" i="1" s="1"/>
  <c r="C164" i="1"/>
  <c r="F164" i="1" s="1"/>
  <c r="H164" i="1" s="1"/>
  <c r="C163" i="1"/>
  <c r="F163" i="1" s="1"/>
  <c r="C162" i="1"/>
  <c r="F162" i="1" s="1"/>
  <c r="C161" i="1"/>
  <c r="F161" i="1" s="1"/>
  <c r="C160" i="1"/>
  <c r="F160" i="1" s="1"/>
  <c r="H160" i="1" s="1"/>
  <c r="F159" i="1"/>
  <c r="C159" i="1"/>
  <c r="C158" i="1"/>
  <c r="F158" i="1" s="1"/>
  <c r="F157" i="1"/>
  <c r="C157" i="1"/>
  <c r="C156" i="1"/>
  <c r="F156" i="1" s="1"/>
  <c r="H156" i="1" s="1"/>
  <c r="C155" i="1"/>
  <c r="F155" i="1" s="1"/>
  <c r="M154" i="1"/>
  <c r="C154" i="1"/>
  <c r="F154" i="1" s="1"/>
  <c r="F152" i="1"/>
  <c r="C152" i="1"/>
  <c r="C151" i="1"/>
  <c r="F151" i="1" s="1"/>
  <c r="H151" i="1" s="1"/>
  <c r="C150" i="1"/>
  <c r="F150" i="1" s="1"/>
  <c r="C149" i="1"/>
  <c r="F149" i="1" s="1"/>
  <c r="H149" i="1" s="1"/>
  <c r="F148" i="1"/>
  <c r="C148" i="1"/>
  <c r="C147" i="1"/>
  <c r="F147" i="1" s="1"/>
  <c r="H147" i="1" s="1"/>
  <c r="F146" i="1"/>
  <c r="C146" i="1"/>
  <c r="C145" i="1"/>
  <c r="F145" i="1" s="1"/>
  <c r="H145" i="1" s="1"/>
  <c r="C144" i="1"/>
  <c r="F144" i="1" s="1"/>
  <c r="C143" i="1"/>
  <c r="F143" i="1" s="1"/>
  <c r="H143" i="1" s="1"/>
  <c r="C142" i="1"/>
  <c r="F142" i="1" s="1"/>
  <c r="C141" i="1"/>
  <c r="F141" i="1" s="1"/>
  <c r="H141" i="1" s="1"/>
  <c r="C140" i="1"/>
  <c r="F140" i="1" s="1"/>
  <c r="C139" i="1"/>
  <c r="F139" i="1" s="1"/>
  <c r="C138" i="1"/>
  <c r="F138" i="1" s="1"/>
  <c r="C137" i="1"/>
  <c r="F137" i="1" s="1"/>
  <c r="M136" i="1"/>
  <c r="C136" i="1"/>
  <c r="F136" i="1" s="1"/>
  <c r="C135" i="1"/>
  <c r="F135" i="1" s="1"/>
  <c r="H135" i="1" s="1"/>
  <c r="C133" i="1"/>
  <c r="F133" i="1" s="1"/>
  <c r="C132" i="1"/>
  <c r="F132" i="1" s="1"/>
  <c r="C131" i="1"/>
  <c r="F131" i="1" s="1"/>
  <c r="C130" i="1"/>
  <c r="F130" i="1" s="1"/>
  <c r="H130" i="1" s="1"/>
  <c r="F129" i="1"/>
  <c r="C129" i="1"/>
  <c r="C128" i="1"/>
  <c r="F128" i="1" s="1"/>
  <c r="F127" i="1"/>
  <c r="C127" i="1"/>
  <c r="C126" i="1"/>
  <c r="F126" i="1" s="1"/>
  <c r="H126" i="1" s="1"/>
  <c r="C125" i="1"/>
  <c r="F125" i="1" s="1"/>
  <c r="C124" i="1"/>
  <c r="F124" i="1" s="1"/>
  <c r="F123" i="1"/>
  <c r="C123" i="1"/>
  <c r="C122" i="1"/>
  <c r="F122" i="1" s="1"/>
  <c r="H122" i="1" s="1"/>
  <c r="C121" i="1"/>
  <c r="F121" i="1" s="1"/>
  <c r="L120" i="1"/>
  <c r="C120" i="1"/>
  <c r="F120" i="1" s="1"/>
  <c r="H120" i="1" s="1"/>
  <c r="C119" i="1"/>
  <c r="F119" i="1" s="1"/>
  <c r="C118" i="1"/>
  <c r="F118" i="1" s="1"/>
  <c r="H118" i="1" s="1"/>
  <c r="C112" i="1"/>
  <c r="F112" i="1" s="1"/>
  <c r="F111" i="1"/>
  <c r="C111" i="1"/>
  <c r="F110" i="1"/>
  <c r="C110" i="1"/>
  <c r="C109" i="1"/>
  <c r="F109" i="1" s="1"/>
  <c r="H109" i="1" s="1"/>
  <c r="C108" i="1"/>
  <c r="F108" i="1" s="1"/>
  <c r="C107" i="1"/>
  <c r="F107" i="1" s="1"/>
  <c r="H107" i="1" s="1"/>
  <c r="C106" i="1"/>
  <c r="F106" i="1" s="1"/>
  <c r="C105" i="1"/>
  <c r="F105" i="1" s="1"/>
  <c r="C104" i="1"/>
  <c r="F104" i="1" s="1"/>
  <c r="C103" i="1"/>
  <c r="F103" i="1" s="1"/>
  <c r="H103" i="1" s="1"/>
  <c r="F102" i="1"/>
  <c r="C102" i="1"/>
  <c r="C101" i="1"/>
  <c r="F101" i="1" s="1"/>
  <c r="C100" i="1"/>
  <c r="F100" i="1" s="1"/>
  <c r="L99" i="1"/>
  <c r="C99" i="1"/>
  <c r="F99" i="1" s="1"/>
  <c r="C97" i="1"/>
  <c r="F97" i="1" s="1"/>
  <c r="C96" i="1"/>
  <c r="F96" i="1" s="1"/>
  <c r="H96" i="1" s="1"/>
  <c r="F95" i="1"/>
  <c r="C95" i="1"/>
  <c r="C94" i="1"/>
  <c r="F94" i="1" s="1"/>
  <c r="F93" i="1"/>
  <c r="C93" i="1"/>
  <c r="C92" i="1"/>
  <c r="F92" i="1" s="1"/>
  <c r="H92" i="1" s="1"/>
  <c r="F91" i="1"/>
  <c r="C91" i="1"/>
  <c r="F90" i="1"/>
  <c r="H90" i="1" s="1"/>
  <c r="C90" i="1"/>
  <c r="F89" i="1"/>
  <c r="C89" i="1"/>
  <c r="C88" i="1"/>
  <c r="F88" i="1" s="1"/>
  <c r="H88" i="1" s="1"/>
  <c r="L87" i="1"/>
  <c r="C87" i="1"/>
  <c r="F87" i="1" s="1"/>
  <c r="F86" i="1"/>
  <c r="C86" i="1"/>
  <c r="C85" i="1"/>
  <c r="F85" i="1" s="1"/>
  <c r="C84" i="1"/>
  <c r="F84" i="1" s="1"/>
  <c r="C83" i="1"/>
  <c r="F83" i="1" s="1"/>
  <c r="C82" i="1"/>
  <c r="F82" i="1" s="1"/>
  <c r="H82" i="1" s="1"/>
  <c r="F80" i="1"/>
  <c r="C80" i="1"/>
  <c r="C79" i="1"/>
  <c r="F79" i="1" s="1"/>
  <c r="H79" i="1" s="1"/>
  <c r="C78" i="1"/>
  <c r="F78" i="1" s="1"/>
  <c r="F77" i="1"/>
  <c r="C77" i="1"/>
  <c r="C76" i="1"/>
  <c r="F76" i="1" s="1"/>
  <c r="F75" i="1"/>
  <c r="H75" i="1" s="1"/>
  <c r="C75" i="1"/>
  <c r="C74" i="1"/>
  <c r="F74" i="1" s="1"/>
  <c r="C73" i="1"/>
  <c r="F73" i="1" s="1"/>
  <c r="H73" i="1" s="1"/>
  <c r="C72" i="1"/>
  <c r="F72" i="1" s="1"/>
  <c r="C71" i="1"/>
  <c r="F71" i="1" s="1"/>
  <c r="C70" i="1"/>
  <c r="F70" i="1" s="1"/>
  <c r="C69" i="1"/>
  <c r="F69" i="1" s="1"/>
  <c r="H69" i="1" s="1"/>
  <c r="F68" i="1"/>
  <c r="C68" i="1"/>
  <c r="L67" i="1"/>
  <c r="C67" i="1"/>
  <c r="F67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F58" i="1"/>
  <c r="C58" i="1"/>
  <c r="C57" i="1"/>
  <c r="F57" i="1" s="1"/>
  <c r="C56" i="1"/>
  <c r="F56" i="1" s="1"/>
  <c r="C55" i="1"/>
  <c r="F55" i="1" s="1"/>
  <c r="F54" i="1"/>
  <c r="C54" i="1"/>
  <c r="L53" i="1"/>
  <c r="F53" i="1"/>
  <c r="C53" i="1"/>
  <c r="F52" i="1"/>
  <c r="C52" i="1"/>
  <c r="C51" i="1"/>
  <c r="F51" i="1" s="1"/>
  <c r="C50" i="1"/>
  <c r="F50" i="1" s="1"/>
  <c r="H50" i="1" s="1"/>
  <c r="F49" i="1"/>
  <c r="C49" i="1"/>
  <c r="F48" i="1"/>
  <c r="H48" i="1" s="1"/>
  <c r="C48" i="1"/>
  <c r="C47" i="1"/>
  <c r="F47" i="1" s="1"/>
  <c r="F46" i="1"/>
  <c r="H46" i="1" s="1"/>
  <c r="C46" i="1"/>
  <c r="C44" i="1"/>
  <c r="F44" i="1" s="1"/>
  <c r="C43" i="1"/>
  <c r="F43" i="1" s="1"/>
  <c r="H43" i="1" s="1"/>
  <c r="C42" i="1"/>
  <c r="F42" i="1" s="1"/>
  <c r="C41" i="1"/>
  <c r="F41" i="1" s="1"/>
  <c r="C40" i="1"/>
  <c r="F40" i="1" s="1"/>
  <c r="C39" i="1"/>
  <c r="F39" i="1" s="1"/>
  <c r="H39" i="1" s="1"/>
  <c r="F38" i="1"/>
  <c r="C38" i="1"/>
  <c r="C37" i="1"/>
  <c r="F37" i="1" s="1"/>
  <c r="F36" i="1"/>
  <c r="C36" i="1"/>
  <c r="F35" i="1"/>
  <c r="C35" i="1"/>
  <c r="C34" i="1"/>
  <c r="F34" i="1" s="1"/>
  <c r="C33" i="1"/>
  <c r="F33" i="1" s="1"/>
  <c r="F32" i="1"/>
  <c r="C32" i="1"/>
  <c r="F31" i="1"/>
  <c r="H31" i="1" s="1"/>
  <c r="C31" i="1"/>
  <c r="C30" i="1"/>
  <c r="F30" i="1" s="1"/>
  <c r="L29" i="1"/>
  <c r="C29" i="1"/>
  <c r="F29" i="1" s="1"/>
  <c r="F27" i="1"/>
  <c r="C27" i="1"/>
  <c r="F26" i="1"/>
  <c r="H26" i="1" s="1"/>
  <c r="C26" i="1"/>
  <c r="C25" i="1"/>
  <c r="F25" i="1" s="1"/>
  <c r="C24" i="1"/>
  <c r="F24" i="1" s="1"/>
  <c r="H24" i="1" s="1"/>
  <c r="F23" i="1"/>
  <c r="C23" i="1"/>
  <c r="F22" i="1"/>
  <c r="H22" i="1" s="1"/>
  <c r="C22" i="1"/>
  <c r="C21" i="1"/>
  <c r="F21" i="1" s="1"/>
  <c r="C20" i="1"/>
  <c r="F20" i="1" s="1"/>
  <c r="C19" i="1"/>
  <c r="F19" i="1" s="1"/>
  <c r="C18" i="1"/>
  <c r="F18" i="1" s="1"/>
  <c r="H18" i="1" s="1"/>
  <c r="C17" i="1"/>
  <c r="F17" i="1" s="1"/>
  <c r="C16" i="1"/>
  <c r="F16" i="1" s="1"/>
  <c r="C15" i="1"/>
  <c r="F15" i="1" s="1"/>
  <c r="C14" i="1"/>
  <c r="F14" i="1" s="1"/>
  <c r="C13" i="1"/>
  <c r="F13" i="1" s="1"/>
  <c r="L12" i="1"/>
  <c r="C12" i="1"/>
  <c r="F12" i="1" s="1"/>
  <c r="H12" i="1" s="1"/>
  <c r="H33" i="1" l="1"/>
  <c r="H56" i="1"/>
  <c r="H84" i="1"/>
  <c r="H250" i="1"/>
  <c r="H86" i="1"/>
  <c r="H20" i="1"/>
  <c r="H60" i="1"/>
  <c r="H196" i="1"/>
  <c r="H219" i="1"/>
  <c r="H311" i="1"/>
  <c r="H124" i="1"/>
  <c r="H198" i="1"/>
  <c r="H205" i="1"/>
  <c r="H221" i="1"/>
  <c r="H246" i="1"/>
  <c r="H269" i="1"/>
  <c r="H62" i="1"/>
  <c r="H29" i="1"/>
  <c r="H307" i="1"/>
  <c r="H58" i="1"/>
  <c r="H137" i="1"/>
  <c r="H259" i="1"/>
  <c r="H265" i="1"/>
  <c r="H315" i="1"/>
  <c r="H54" i="1"/>
  <c r="H190" i="1"/>
  <c r="H139" i="1"/>
  <c r="H207" i="1"/>
  <c r="H277" i="1"/>
  <c r="H52" i="1"/>
  <c r="H67" i="1"/>
  <c r="H111" i="1"/>
  <c r="H132" i="1"/>
  <c r="H192" i="1"/>
  <c r="H215" i="1"/>
  <c r="H300" i="1"/>
  <c r="H313" i="1"/>
  <c r="H317" i="1"/>
  <c r="H37" i="1"/>
  <c r="H94" i="1"/>
  <c r="H101" i="1"/>
  <c r="H128" i="1"/>
  <c r="H154" i="1"/>
  <c r="H158" i="1"/>
  <c r="H35" i="1"/>
  <c r="H14" i="1"/>
  <c r="H202" i="1"/>
  <c r="H296" i="1"/>
  <c r="H285" i="1"/>
  <c r="H16" i="1"/>
  <c r="H41" i="1"/>
  <c r="H64" i="1"/>
  <c r="H71" i="1"/>
  <c r="H77" i="1"/>
  <c r="H99" i="1"/>
  <c r="H105" i="1"/>
  <c r="H162" i="1"/>
  <c r="H181" i="1"/>
  <c r="H200" i="1"/>
  <c r="H213" i="1"/>
  <c r="H292" i="1"/>
</calcChain>
</file>

<file path=xl/sharedStrings.xml><?xml version="1.0" encoding="utf-8"?>
<sst xmlns="http://schemas.openxmlformats.org/spreadsheetml/2006/main" count="1730" uniqueCount="192">
  <si>
    <t>Ctr shRNA</t>
  </si>
  <si>
    <t>Prr7 shRNA</t>
  </si>
  <si>
    <t>Rep1</t>
  </si>
  <si>
    <t>Rep2</t>
  </si>
  <si>
    <t>Rep3</t>
  </si>
  <si>
    <t>EtOH</t>
  </si>
  <si>
    <t>PTX</t>
  </si>
  <si>
    <t xml:space="preserve">From dataset of RHDIV21 fixation on 04.03.20 SPAR ICC with GDB blocking, PFA fixation. </t>
  </si>
  <si>
    <t>Dendrite segment</t>
  </si>
  <si>
    <t>Length total (um)</t>
  </si>
  <si>
    <t>Spine count total</t>
  </si>
  <si>
    <t>Spine count/um</t>
  </si>
  <si>
    <t>Average</t>
  </si>
  <si>
    <t>Mock GFP 1</t>
  </si>
  <si>
    <t>Mock GFP 2</t>
  </si>
  <si>
    <t>Mock GFP 3</t>
  </si>
  <si>
    <t>Mock GFP 4</t>
  </si>
  <si>
    <t>Mock GFP 5</t>
  </si>
  <si>
    <t>Mock GFP 6</t>
  </si>
  <si>
    <t>Mock GFP 7</t>
  </si>
  <si>
    <t>Mock GFP 8</t>
  </si>
  <si>
    <t>Mock Prr7KD 1</t>
  </si>
  <si>
    <t>Mock Prr7KD 2</t>
  </si>
  <si>
    <t>Mock Prr7KD 3</t>
  </si>
  <si>
    <t>Mock Prr7KD 4</t>
  </si>
  <si>
    <t>Mock Prr7KD 5</t>
  </si>
  <si>
    <t>Mock Prr7KD 7</t>
  </si>
  <si>
    <t>Mock Prr7KD 8</t>
  </si>
  <si>
    <t xml:space="preserve">Mock Prr7KD 9 </t>
  </si>
  <si>
    <t>resolution not the best. should i discard?</t>
  </si>
  <si>
    <t>Mock PTM 1</t>
  </si>
  <si>
    <t>Mock PTM 2</t>
  </si>
  <si>
    <t>Mock PTM 3</t>
  </si>
  <si>
    <t>not a very complex cell in that there is little branching</t>
  </si>
  <si>
    <t xml:space="preserve">might discard? </t>
  </si>
  <si>
    <t>Mock PTM 4</t>
  </si>
  <si>
    <t>Mock PTM 5</t>
  </si>
  <si>
    <t>Mock PTM 6</t>
  </si>
  <si>
    <t>Mock PTM 7</t>
  </si>
  <si>
    <t>Mock PTM 8</t>
  </si>
  <si>
    <t>Mock PTM 9</t>
  </si>
  <si>
    <t>Mock PTM 10</t>
  </si>
  <si>
    <t>PTX GFP 1</t>
  </si>
  <si>
    <t>PTX GFP 2</t>
  </si>
  <si>
    <t>PTX GFP 4</t>
  </si>
  <si>
    <t>PTX GFP 6</t>
  </si>
  <si>
    <t>PTX GFP 7</t>
  </si>
  <si>
    <t>PTX GFP 8</t>
  </si>
  <si>
    <t>PTX GFP 9</t>
  </si>
  <si>
    <t>PTX Prr7KD 1</t>
  </si>
  <si>
    <t>looking back PTX+ Prr7sh combination doesn't appear too healthy</t>
  </si>
  <si>
    <t>PTX Prr7KD 2</t>
  </si>
  <si>
    <t xml:space="preserve">3 does not look pyramidal </t>
  </si>
  <si>
    <t>PTX Prr7KD 4</t>
  </si>
  <si>
    <t>PTX Prr7KD 5</t>
  </si>
  <si>
    <t>PTX Prr7KD 6</t>
  </si>
  <si>
    <t>PTX Prr7KD 7</t>
  </si>
  <si>
    <t>PTX Prr7KD 8</t>
  </si>
  <si>
    <t xml:space="preserve">PTX Prr7KD 9 </t>
  </si>
  <si>
    <t>PTX PTM 1</t>
  </si>
  <si>
    <t>PTX PTM 2</t>
  </si>
  <si>
    <t>PTX PTM 3</t>
  </si>
  <si>
    <t>PTX PTM 4</t>
  </si>
  <si>
    <t>PTX PTM 5</t>
  </si>
  <si>
    <t>PTX PTM 6</t>
  </si>
  <si>
    <t>may not be pyramidal?</t>
  </si>
  <si>
    <t>PTX PTM 7</t>
  </si>
  <si>
    <t xml:space="preserve">RHDIV21 19-02-20 SPAR ICC with NGS blocking </t>
  </si>
  <si>
    <t xml:space="preserve">3 is not a very complex cell </t>
  </si>
  <si>
    <t>Mock Prr7KD 6</t>
  </si>
  <si>
    <t>7 may not be pyramidal?</t>
  </si>
  <si>
    <t>Mock Prr7KD 9</t>
  </si>
  <si>
    <t>a bit blurry may be inaccurate</t>
  </si>
  <si>
    <t>PTX GFP 3</t>
  </si>
  <si>
    <t>not a very complex cell</t>
  </si>
  <si>
    <t>PTX GFP 5</t>
  </si>
  <si>
    <t>PTX Prr7KD 3</t>
  </si>
  <si>
    <t xml:space="preserve">not the healthiest? </t>
  </si>
  <si>
    <t>PTX PTM 8</t>
  </si>
  <si>
    <t>PTX PTM 9</t>
  </si>
  <si>
    <t xml:space="preserve">RHDIV21 21-10-19 GluA1 ICC with NGS blocking </t>
  </si>
  <si>
    <t>3 is unhealthy</t>
  </si>
  <si>
    <t xml:space="preserve">noting that these samples are not the healthiest (not many spines)? </t>
  </si>
  <si>
    <t>Mock GFP 9</t>
  </si>
  <si>
    <t xml:space="preserve">Mock Prr7KD 10 </t>
  </si>
  <si>
    <t>PTX Prr7KD 10</t>
  </si>
  <si>
    <t>PTX Prr7KD 9</t>
  </si>
  <si>
    <t>PTX Prr7KD 11</t>
  </si>
  <si>
    <t>PTX Prr7KD 12</t>
  </si>
  <si>
    <t xml:space="preserve">not much branching in first two cells </t>
  </si>
  <si>
    <t>PTM</t>
  </si>
  <si>
    <t>Prr7</t>
  </si>
  <si>
    <t>Mock GFP</t>
  </si>
  <si>
    <t>Mock Prr7KD</t>
  </si>
  <si>
    <t>Mock Ctrsh</t>
  </si>
  <si>
    <t xml:space="preserve">PTX GFP </t>
  </si>
  <si>
    <t>PTX Prr7KD</t>
  </si>
  <si>
    <t>PTX Ctrsh</t>
  </si>
  <si>
    <t>PTX GFP</t>
  </si>
  <si>
    <t>Mock Prr7sh</t>
  </si>
  <si>
    <t>PTX Prr7sh</t>
  </si>
  <si>
    <t>pcDNA</t>
  </si>
  <si>
    <t xml:space="preserve">Rep1 </t>
  </si>
  <si>
    <t>Mut9 Ctrsh</t>
  </si>
  <si>
    <t>Length</t>
  </si>
  <si>
    <t>Sum</t>
  </si>
  <si>
    <t>Spine number</t>
  </si>
  <si>
    <t>D1.1</t>
  </si>
  <si>
    <t>D1.2</t>
  </si>
  <si>
    <t>D2.1</t>
  </si>
  <si>
    <t>D2.2</t>
  </si>
  <si>
    <t>Mut9 Prr7sh</t>
  </si>
  <si>
    <t xml:space="preserve">pcDNA Ctrsh </t>
  </si>
  <si>
    <t xml:space="preserve">pcDNA Prr7sh </t>
  </si>
  <si>
    <t>Sum length</t>
  </si>
  <si>
    <t xml:space="preserve">Spine count </t>
  </si>
  <si>
    <t>pcDNA Ctrsh</t>
  </si>
  <si>
    <t>pcDNA Prr7sh</t>
  </si>
  <si>
    <t xml:space="preserve">Mut9 Ctrsh </t>
  </si>
  <si>
    <t>Sum of lengths</t>
  </si>
  <si>
    <t>Spine count</t>
  </si>
  <si>
    <t>Count/Length</t>
  </si>
  <si>
    <t>HA-Prr7</t>
  </si>
  <si>
    <t>PTX/Mock</t>
  </si>
  <si>
    <t>Mock pcDNA</t>
  </si>
  <si>
    <t xml:space="preserve">Sample </t>
  </si>
  <si>
    <t>D1 length sum</t>
  </si>
  <si>
    <t>D1 count</t>
  </si>
  <si>
    <t>D2 length</t>
  </si>
  <si>
    <t>D2 count</t>
  </si>
  <si>
    <t>D1</t>
  </si>
  <si>
    <t>D2</t>
  </si>
  <si>
    <t>Mock HA-Prr7</t>
  </si>
  <si>
    <t>PTX pcDNA</t>
  </si>
  <si>
    <t>PTX HA-Prr7</t>
  </si>
  <si>
    <t>sum</t>
  </si>
  <si>
    <t xml:space="preserve">Mock HA-Prr7 </t>
  </si>
  <si>
    <t>REP2</t>
  </si>
  <si>
    <t xml:space="preserve">HA-Prr7 Mock </t>
  </si>
  <si>
    <t xml:space="preserve">sum </t>
  </si>
  <si>
    <t>HA-Prr7 PTX</t>
  </si>
  <si>
    <t xml:space="preserve">pcDNA Mock </t>
  </si>
  <si>
    <t>pcDNA PTX</t>
  </si>
  <si>
    <t>REP3</t>
  </si>
  <si>
    <t>pcDNA Mock</t>
  </si>
  <si>
    <t xml:space="preserve">pcDNA PTX </t>
  </si>
  <si>
    <t>GRAND AVERAGES</t>
  </si>
  <si>
    <t xml:space="preserve">Normalized </t>
  </si>
  <si>
    <t xml:space="preserve">PTX/Mock </t>
  </si>
  <si>
    <t>GluA1/Tubulin</t>
  </si>
  <si>
    <t>SD</t>
  </si>
  <si>
    <t>Rep1 Norm</t>
  </si>
  <si>
    <t>Rep2 Norm</t>
  </si>
  <si>
    <t>Rep3 Norm</t>
  </si>
  <si>
    <t>pSUPER Empty</t>
  </si>
  <si>
    <t>pSUPER PTM</t>
  </si>
  <si>
    <t>pSUPER 1.5</t>
  </si>
  <si>
    <t>Rep1 from 2.10.19</t>
  </si>
  <si>
    <t>Rep2 from 8.12.20</t>
  </si>
  <si>
    <t>Rep3 from 16.12.20</t>
  </si>
  <si>
    <t>1.7.20 CBinv number particles/selection area</t>
  </si>
  <si>
    <t>Mock</t>
  </si>
  <si>
    <t>Prr7sh</t>
  </si>
  <si>
    <t>Treatment</t>
  </si>
  <si>
    <t>Transfection</t>
  </si>
  <si>
    <t>Cell</t>
  </si>
  <si>
    <t>Folder</t>
  </si>
  <si>
    <t>Slice</t>
  </si>
  <si>
    <t>Channel_Name</t>
  </si>
  <si>
    <t>Selection</t>
  </si>
  <si>
    <t>Cell.1</t>
  </si>
  <si>
    <t>Selection_Area</t>
  </si>
  <si>
    <t>Mask_Area</t>
  </si>
  <si>
    <t>Random_Particles</t>
  </si>
  <si>
    <t>Number_of_Particles</t>
  </si>
  <si>
    <t>Mean</t>
  </si>
  <si>
    <t>Number of particles/selection area</t>
  </si>
  <si>
    <t>GFP</t>
  </si>
  <si>
    <t>01-07-20 GluA1 surface not healthiest</t>
  </si>
  <si>
    <t>ZStacked</t>
  </si>
  <si>
    <t>Cellbody-inversed</t>
  </si>
  <si>
    <t>8.7.20</t>
  </si>
  <si>
    <t>08-07-20 GluA1 surface</t>
  </si>
  <si>
    <t>29.7.20</t>
  </si>
  <si>
    <t xml:space="preserve">Mock </t>
  </si>
  <si>
    <t>29-07-20 GluA1 surface</t>
  </si>
  <si>
    <t>6.5.21</t>
  </si>
  <si>
    <t xml:space="preserve">CBinv num particles </t>
  </si>
  <si>
    <t>Ctrsh</t>
  </si>
  <si>
    <t>210506 sGluA1 prr7kd</t>
  </si>
  <si>
    <t xml:space="preserve">Prr7/Tubulin </t>
  </si>
  <si>
    <r>
      <t>HA-Prr7</t>
    </r>
    <r>
      <rPr>
        <b/>
        <vertAlign val="superscript"/>
        <sz val="9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</si>
</sst>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rgb="FF333333"/>
      <name val="Source Sans Pro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1111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3" fillId="3" borderId="0" xfId="0" applyFont="1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 indent="2"/>
    </xf>
    <xf numFmtId="0" fontId="8" fillId="4" borderId="1" xfId="0" applyFont="1" applyFill="1" applyBorder="1" applyAlignment="1">
      <alignment horizontal="right" vertical="center" wrapText="1" indent="2"/>
    </xf>
    <xf numFmtId="0" fontId="8" fillId="4" borderId="0" xfId="0" applyFont="1" applyFill="1" applyAlignment="1">
      <alignment horizontal="right" vertical="center" wrapText="1" indent="2"/>
    </xf>
    <xf numFmtId="0" fontId="1" fillId="5" borderId="0" xfId="0" applyFont="1" applyFill="1"/>
    <xf numFmtId="0" fontId="7" fillId="0" borderId="0" xfId="0" applyFont="1" applyAlignment="1">
      <alignment horizontal="center"/>
    </xf>
    <xf numFmtId="0" fontId="1" fillId="6" borderId="0" xfId="0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GluA1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[3]Sheet1!$F$35:$F$39</c:f>
                <c:numCache>
                  <c:formatCode>General</c:formatCode>
                  <c:ptCount val="5"/>
                  <c:pt idx="0">
                    <c:v>3.0057549466629023E-2</c:v>
                  </c:pt>
                  <c:pt idx="1">
                    <c:v>0.11101839326441383</c:v>
                  </c:pt>
                  <c:pt idx="2">
                    <c:v>0.11476375364010867</c:v>
                  </c:pt>
                </c:numCache>
              </c:numRef>
            </c:plus>
            <c:minus>
              <c:numRef>
                <c:f>[3]Sheet1!$F$35:$F$39</c:f>
                <c:numCache>
                  <c:formatCode>General</c:formatCode>
                  <c:ptCount val="5"/>
                  <c:pt idx="0">
                    <c:v>3.0057549466629023E-2</c:v>
                  </c:pt>
                  <c:pt idx="1">
                    <c:v>0.11101839326441383</c:v>
                  </c:pt>
                  <c:pt idx="2">
                    <c:v>0.11476375364010867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[3]Sheet1!$A$35:$A$39</c:f>
              <c:strCache>
                <c:ptCount val="5"/>
                <c:pt idx="0">
                  <c:v>pSUPER Empty</c:v>
                </c:pt>
                <c:pt idx="1">
                  <c:v>pSUPER PTM</c:v>
                </c:pt>
                <c:pt idx="2">
                  <c:v>pSUPER 1.5</c:v>
                </c:pt>
              </c:strCache>
            </c:strRef>
          </c:cat>
          <c:val>
            <c:numRef>
              <c:f>[3]Sheet1!$E$35:$E$39</c:f>
              <c:numCache>
                <c:formatCode>General</c:formatCode>
                <c:ptCount val="5"/>
                <c:pt idx="0">
                  <c:v>0.384222719006938</c:v>
                </c:pt>
                <c:pt idx="1">
                  <c:v>0.53006022255601914</c:v>
                </c:pt>
                <c:pt idx="2">
                  <c:v>0.17705507309773361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0-2348-A5D8-41C5AA1CA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261903"/>
        <c:axId val="1698262735"/>
      </c:barChart>
      <c:catAx>
        <c:axId val="169826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62735"/>
        <c:crosses val="autoZero"/>
        <c:auto val="1"/>
        <c:lblAlgn val="ctr"/>
        <c:lblOffset val="100"/>
        <c:noMultiLvlLbl val="0"/>
      </c:catAx>
      <c:valAx>
        <c:axId val="1698262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61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Prr7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[3]Sheet1!$F$43:$F$47</c:f>
                <c:numCache>
                  <c:formatCode>General</c:formatCode>
                  <c:ptCount val="5"/>
                  <c:pt idx="0">
                    <c:v>0.3115431712283796</c:v>
                  </c:pt>
                  <c:pt idx="1">
                    <c:v>0.37693885340184413</c:v>
                  </c:pt>
                  <c:pt idx="2">
                    <c:v>1.6108142761693828E-2</c:v>
                  </c:pt>
                </c:numCache>
              </c:numRef>
            </c:plus>
            <c:minus>
              <c:numRef>
                <c:f>[3]Sheet1!$F$43:$F$47</c:f>
                <c:numCache>
                  <c:formatCode>General</c:formatCode>
                  <c:ptCount val="5"/>
                  <c:pt idx="0">
                    <c:v>0.3115431712283796</c:v>
                  </c:pt>
                  <c:pt idx="1">
                    <c:v>0.37693885340184413</c:v>
                  </c:pt>
                  <c:pt idx="2">
                    <c:v>1.6108142761693828E-2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[3]Sheet1!$A$43:$A$47</c:f>
              <c:strCache>
                <c:ptCount val="5"/>
                <c:pt idx="0">
                  <c:v>pSUPER Empty</c:v>
                </c:pt>
                <c:pt idx="1">
                  <c:v>pSUPER PTM</c:v>
                </c:pt>
                <c:pt idx="2">
                  <c:v>pSUPER 1.5</c:v>
                </c:pt>
              </c:strCache>
            </c:strRef>
          </c:cat>
          <c:val>
            <c:numRef>
              <c:f>[3]Sheet1!$E$43:$E$47</c:f>
              <c:numCache>
                <c:formatCode>General</c:formatCode>
                <c:ptCount val="5"/>
                <c:pt idx="0">
                  <c:v>0.60815740445028643</c:v>
                </c:pt>
                <c:pt idx="1">
                  <c:v>0.75923997122921449</c:v>
                </c:pt>
                <c:pt idx="2">
                  <c:v>1.9889473963600742E-2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C94D-8F3D-D69A1211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0653423"/>
        <c:axId val="1810648847"/>
      </c:barChart>
      <c:catAx>
        <c:axId val="181065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648847"/>
        <c:crosses val="autoZero"/>
        <c:auto val="1"/>
        <c:lblAlgn val="ctr"/>
        <c:lblOffset val="100"/>
        <c:noMultiLvlLbl val="0"/>
      </c:catAx>
      <c:valAx>
        <c:axId val="181064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65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  <cx:data id="1">
      <cx:numDim type="val">
        <cx:f>_xlchart.v1.13</cx:f>
      </cx:numDim>
    </cx:data>
    <cx:data id="2">
      <cx:numDim type="val">
        <cx:f>_xlchart.v1.14</cx:f>
      </cx:numDim>
    </cx:data>
    <cx:data id="3">
      <cx:numDim type="val">
        <cx:f>_xlchart.v1.15</cx:f>
      </cx:numDim>
    </cx:data>
    <cx:data id="4">
      <cx:numDim type="val">
        <cx:f>_xlchart.v1.16</cx:f>
      </cx:numDim>
    </cx:data>
    <cx:data id="5">
      <cx:numDim type="val">
        <cx:f>_xlchart.v1.17</cx:f>
      </cx:numDim>
    </cx:data>
  </cx:chartData>
  <cx:chart>
    <cx:title pos="t" align="ctr" overlay="0"/>
    <cx:plotArea>
      <cx:plotAreaRegion>
        <cx:series layoutId="boxWhisker" uniqueId="{09913425-B291-AF47-A5B7-010B3217698E}"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60BAB000-C7BC-B645-97BA-A4BC43501D5C}"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21B2AC9C-3B2D-DD40-B558-640B63FC73E8}"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DEE61C8D-A271-684E-A922-EA0D9AC6B290}"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8E661787-B062-1843-A602-854135F63677}"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D606CEE4-473B-A94B-AD55-F35203A94EC6}">
          <cx:dataId val="5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_xlchart.v1.19</cx:f>
      </cx:numDim>
    </cx:data>
    <cx:data id="1">
      <cx:numDim type="val">
        <cx:f>_xlchart.v1.21</cx:f>
      </cx:numDim>
    </cx:data>
    <cx:data id="2">
      <cx:numDim type="val">
        <cx:f>_xlchart.v1.23</cx:f>
      </cx:numDim>
    </cx:data>
    <cx:data id="3">
      <cx:numDim type="val">
        <cx:f>_xlchart.v1.25</cx:f>
      </cx:numDim>
    </cx:data>
    <cx:data id="4">
      <cx:numDim type="val">
        <cx:f>_xlchart.v1.27</cx:f>
      </cx:numDim>
    </cx:data>
    <cx:data id="5">
      <cx:numDim type="val">
        <cx:f>_xlchart.v1.29</cx:f>
      </cx:numDim>
    </cx:data>
  </cx:chartData>
  <cx:chart>
    <cx:title pos="t" align="ctr" overlay="0"/>
    <cx:plotArea>
      <cx:plotAreaRegion>
        <cx:series layoutId="boxWhisker" uniqueId="{34829B20-8BEC-F945-A633-FF8CF237F1D0}">
          <cx:tx>
            <cx:txData>
              <cx:f>_xlchart.v1.18</cx:f>
              <cx:v>Mock GFP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6543D21E-5CF4-844C-BD24-3EE2863A884D}">
          <cx:tx>
            <cx:txData>
              <cx:f>_xlchart.v1.20</cx:f>
              <cx:v>Mock Prr7KD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91F6728-7ABF-9F43-A57B-E929CA72A9C7}">
          <cx:tx>
            <cx:txData>
              <cx:f>_xlchart.v1.22</cx:f>
              <cx:v>Mock Ctrsh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3E6A3A6A-664C-8E4F-9547-EB2819DED50F}">
          <cx:tx>
            <cx:txData>
              <cx:f>_xlchart.v1.24</cx:f>
              <cx:v>PTX GFP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EAE5BEBF-C29B-6D42-A9DE-C39ABA7AF89D}">
          <cx:tx>
            <cx:txData>
              <cx:f>_xlchart.v1.26</cx:f>
              <cx:v>PTX Prr7KD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C1FD6D84-A597-CF4D-B4C6-41611AA7485D}">
          <cx:tx>
            <cx:txData>
              <cx:f>_xlchart.v1.28</cx:f>
              <cx:v>PTX Ctrsh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title pos="t" align="ctr" overlay="0"/>
    <cx:plotArea>
      <cx:plotAreaRegion>
        <cx:series layoutId="boxWhisker" uniqueId="{FFCEEEF6-C771-2343-B6DC-5AEE5D9CA2B6}">
          <cx:tx>
            <cx:txData>
              <cx:f>_xlchart.v1.0</cx:f>
              <cx:v>Mock GFP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1C9B03EE-18F3-944D-B6D7-1E2BDDCE933F}">
          <cx:tx>
            <cx:txData>
              <cx:f>_xlchart.v1.2</cx:f>
              <cx:v>Mock Ctrsh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4B5AC1B2-F77A-5D4B-AB9C-D0EFA6372740}">
          <cx:tx>
            <cx:txData>
              <cx:f>_xlchart.v1.4</cx:f>
              <cx:v>Mock Prr7sh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2F352CF4-DB26-F548-A1C7-A7F1237E8A7A}">
          <cx:tx>
            <cx:txData>
              <cx:f>_xlchart.v1.6</cx:f>
              <cx:v>PTX GFP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1055B5B9-455B-384E-967A-7803CC4EA1BF}">
          <cx:tx>
            <cx:txData>
              <cx:f>_xlchart.v1.8</cx:f>
              <cx:v>PTX Ctrsh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6FBF0AF0-F361-0945-AF3F-DBCBA78581A5}">
          <cx:tx>
            <cx:txData>
              <cx:f>_xlchart.v1.10</cx:f>
              <cx:v>PTX Prr7sh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_xlchart.v1.31</cx:f>
      </cx:numDim>
    </cx:data>
    <cx:data id="1">
      <cx:numDim type="val">
        <cx:f>_xlchart.v1.33</cx:f>
      </cx:numDim>
    </cx:data>
    <cx:data id="2">
      <cx:numDim type="val">
        <cx:f>_xlchart.v1.35</cx:f>
      </cx:numDim>
    </cx:data>
    <cx:data id="3">
      <cx:numDim type="val">
        <cx:f>_xlchart.v1.37</cx:f>
      </cx:numDim>
    </cx:data>
  </cx:chartData>
  <cx:chart>
    <cx:title pos="t" align="ctr" overlay="0"/>
    <cx:plotArea>
      <cx:plotAreaRegion>
        <cx:series layoutId="boxWhisker" uniqueId="{3E22E419-5120-F749-9876-324FAE7FF21F}">
          <cx:tx>
            <cx:txData>
              <cx:f>_xlchart.v1.30</cx:f>
              <cx:v>pcDNA Ctrsh 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C5184851-76FC-AB4C-BFBA-F7F505682EE4}">
          <cx:tx>
            <cx:txData>
              <cx:f>_xlchart.v1.32</cx:f>
              <cx:v>pcDNA Prr7sh 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0AB8F343-6844-5C4E-8584-525949F95E85}">
          <cx:tx>
            <cx:txData>
              <cx:f>_xlchart.v1.34</cx:f>
              <cx:v>Mut9 Ctrsh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41A52AFE-47E3-5B47-83C3-9D39CD8CCA96}">
          <cx:tx>
            <cx:txData>
              <cx:f>_xlchart.v1.36</cx:f>
              <cx:v>Mut9 Prr7sh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_xlchart.v1.39</cx:f>
      </cx:numDim>
    </cx:data>
    <cx:data id="1">
      <cx:numDim type="val">
        <cx:f>_xlchart.v1.41</cx:f>
      </cx:numDim>
    </cx:data>
    <cx:data id="2">
      <cx:numDim type="val">
        <cx:f>_xlchart.v1.43</cx:f>
      </cx:numDim>
    </cx:data>
    <cx:data id="3">
      <cx:numDim type="val">
        <cx:f>_xlchart.v1.45</cx:f>
      </cx:numDim>
    </cx:data>
  </cx:chartData>
  <cx:chart>
    <cx:title pos="t" align="ctr" overlay="0"/>
    <cx:plotArea>
      <cx:plotAreaRegion>
        <cx:series layoutId="boxWhisker" uniqueId="{8D3625B8-8C62-1B4B-A8D4-4796BCD16E71}">
          <cx:tx>
            <cx:txData>
              <cx:f>_xlchart.v1.38</cx:f>
              <cx:v>Mut9 Ctrsh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C42F0A28-5CCE-474B-89AF-D4ADDFAD2146}">
          <cx:tx>
            <cx:txData>
              <cx:f>_xlchart.v1.40</cx:f>
              <cx:v>Mut9 Prr7sh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8CD93E9-5C78-0F4A-BF44-A49D57C0C4AB}">
          <cx:tx>
            <cx:txData>
              <cx:f>_xlchart.v1.42</cx:f>
              <cx:v>pcDNA Ctrsh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F7EC555F-9A9D-A643-B759-1CD9CD69295E}">
          <cx:tx>
            <cx:txData>
              <cx:f>_xlchart.v1.44</cx:f>
              <cx:v>pcDNA Prr7sh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_xlchart.v1.47</cx:f>
      </cx:numDim>
    </cx:data>
    <cx:data id="1">
      <cx:numDim type="val">
        <cx:f>_xlchart.v1.49</cx:f>
      </cx:numDim>
    </cx:data>
    <cx:data id="2">
      <cx:numDim type="val">
        <cx:f>_xlchart.v1.51</cx:f>
      </cx:numDim>
    </cx:data>
    <cx:data id="3">
      <cx:numDim type="val">
        <cx:f>_xlchart.v1.53</cx:f>
      </cx:numDim>
    </cx:data>
  </cx:chartData>
  <cx:chart>
    <cx:title pos="t" align="ctr" overlay="0"/>
    <cx:plotArea>
      <cx:plotAreaRegion>
        <cx:series layoutId="boxWhisker" uniqueId="{F3E95BB9-D4C8-4E47-A3F4-316FAA7B522B}">
          <cx:tx>
            <cx:txData>
              <cx:f>_xlchart.v1.46</cx:f>
              <cx:v>Mut9 Ctrsh 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0EE8E2B-B7DE-6A4E-AE50-2FC17E037104}">
          <cx:tx>
            <cx:txData>
              <cx:f>_xlchart.v1.48</cx:f>
              <cx:v>Mut9 Prr7sh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430DDB0C-4618-7646-8423-7A8018E41EDB}">
          <cx:tx>
            <cx:txData>
              <cx:f>_xlchart.v1.50</cx:f>
              <cx:v>pcDNA Ctrsh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118E3709-8D6C-0C48-A99A-7E43F52F3E54}">
          <cx:tx>
            <cx:txData>
              <cx:f>_xlchart.v1.52</cx:f>
              <cx:v>pcDNA Prr7sh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_xlchart.v1.71</cx:f>
      </cx:numDim>
    </cx:data>
    <cx:data id="1">
      <cx:numDim type="val">
        <cx:f>_xlchart.v1.73</cx:f>
      </cx:numDim>
    </cx:data>
    <cx:data id="2">
      <cx:numDim type="val">
        <cx:f>_xlchart.v1.75</cx:f>
      </cx:numDim>
    </cx:data>
    <cx:data id="3">
      <cx:numDim type="val">
        <cx:f>_xlchart.v1.77</cx:f>
      </cx:numDim>
    </cx:data>
  </cx:chartData>
  <cx:chart>
    <cx:title pos="t" align="ctr" overlay="0"/>
    <cx:plotArea>
      <cx:plotAreaRegion>
        <cx:series layoutId="boxWhisker" uniqueId="{2A3AF7E1-AD7F-1C43-A3AB-38CFA2699477}">
          <cx:tx>
            <cx:txData>
              <cx:f>_xlchart.v1.70</cx:f>
              <cx:v>HA-Prr7 Mock 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5C0BF22-909A-484F-9C23-C820B05E898E}">
          <cx:tx>
            <cx:txData>
              <cx:f>_xlchart.v1.72</cx:f>
              <cx:v>HA-Prr7 PTX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FE05F743-94C6-E54E-9AE1-436B20A29928}">
          <cx:tx>
            <cx:txData>
              <cx:f>_xlchart.v1.74</cx:f>
              <cx:v>pcDNA Mock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7FE45EC0-B54C-C046-9F14-BA331B774E21}">
          <cx:tx>
            <cx:txData>
              <cx:f>_xlchart.v1.76</cx:f>
              <cx:v>pcDNA PTX 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_xlchart.v1.63</cx:f>
      </cx:numDim>
    </cx:data>
    <cx:data id="1">
      <cx:numDim type="val">
        <cx:f>_xlchart.v1.65</cx:f>
      </cx:numDim>
    </cx:data>
    <cx:data id="2">
      <cx:numDim type="val">
        <cx:f>_xlchart.v1.67</cx:f>
      </cx:numDim>
    </cx:data>
    <cx:data id="3">
      <cx:numDim type="val">
        <cx:f>_xlchart.v1.69</cx:f>
      </cx:numDim>
    </cx:data>
  </cx:chartData>
  <cx:chart>
    <cx:title pos="t" align="ctr" overlay="0"/>
    <cx:plotArea>
      <cx:plotAreaRegion>
        <cx:series layoutId="boxWhisker" uniqueId="{DFAC313A-DD86-7E4B-80F5-13FDF073E5C0}">
          <cx:tx>
            <cx:txData>
              <cx:f>_xlchart.v1.62</cx:f>
              <cx:v>Mock HA-Prr7 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DA5BA667-1A3E-7E4B-B8B3-15F5F8835D88}">
          <cx:tx>
            <cx:txData>
              <cx:f>_xlchart.v1.64</cx:f>
              <cx:v>PTX HA-Prr7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D1D00F0-B1B8-DF4D-9599-CB7D0BB489FA}">
          <cx:tx>
            <cx:txData>
              <cx:f>_xlchart.v1.66</cx:f>
              <cx:v>Mock pcDNA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E61E7845-7264-5D47-91E9-A4B96AF70AF3}">
          <cx:tx>
            <cx:txData>
              <cx:f>_xlchart.v1.68</cx:f>
              <cx:v>PTX pcDNA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_xlchart.v1.55</cx:f>
      </cx:numDim>
    </cx:data>
    <cx:data id="1">
      <cx:numDim type="val">
        <cx:f>_xlchart.v1.57</cx:f>
      </cx:numDim>
    </cx:data>
    <cx:data id="2">
      <cx:numDim type="val">
        <cx:f>_xlchart.v1.59</cx:f>
      </cx:numDim>
    </cx:data>
    <cx:data id="3">
      <cx:numDim type="val">
        <cx:f>_xlchart.v1.61</cx:f>
      </cx:numDim>
    </cx:data>
  </cx:chartData>
  <cx:chart>
    <cx:title pos="t" align="ctr" overlay="0"/>
    <cx:plotArea>
      <cx:plotAreaRegion>
        <cx:series layoutId="boxWhisker" uniqueId="{44AD290B-BB16-4F40-B510-529BF600CCDC}">
          <cx:tx>
            <cx:txData>
              <cx:f>_xlchart.v1.54</cx:f>
              <cx:v>Mock pcDNA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EC98BC93-BC4C-F246-9318-65DDBA92C9A9}">
          <cx:tx>
            <cx:txData>
              <cx:f>_xlchart.v1.56</cx:f>
              <cx:v>Mock HA-Prr7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0C51E5B-1D58-D448-9CBC-0C460B56CEE1}">
          <cx:tx>
            <cx:txData>
              <cx:f>_xlchart.v1.58</cx:f>
              <cx:v>PTX pcDNA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3E373C93-E515-D948-9661-D642DBAFEF5B}">
          <cx:tx>
            <cx:txData>
              <cx:f>_xlchart.v1.60</cx:f>
              <cx:v>PTX HA-Prr7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9.xml"/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107950</xdr:colOff>
      <xdr:row>21</xdr:row>
      <xdr:rowOff>19050</xdr:rowOff>
    </xdr:from>
    <xdr:to>
      <xdr:col>18</xdr:col>
      <xdr:colOff>552450</xdr:colOff>
      <xdr:row>34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0B5D5C2-8F46-30D7-E0D5-A0FE30898D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39450" y="42862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400050</xdr:colOff>
      <xdr:row>128</xdr:row>
      <xdr:rowOff>133350</xdr:rowOff>
    </xdr:from>
    <xdr:to>
      <xdr:col>19</xdr:col>
      <xdr:colOff>19050</xdr:colOff>
      <xdr:row>142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40FB788-50F8-C0BB-6850-E69C733F5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31550" y="26142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476250</xdr:colOff>
      <xdr:row>237</xdr:row>
      <xdr:rowOff>146050</xdr:rowOff>
    </xdr:from>
    <xdr:to>
      <xdr:col>19</xdr:col>
      <xdr:colOff>95250</xdr:colOff>
      <xdr:row>251</xdr:row>
      <xdr:rowOff>44450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D943C11-5F81-3E08-B17B-113BDDE63A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7750" y="483044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501650</xdr:colOff>
      <xdr:row>60</xdr:row>
      <xdr:rowOff>171450</xdr:rowOff>
    </xdr:from>
    <xdr:to>
      <xdr:col>16</xdr:col>
      <xdr:colOff>361950</xdr:colOff>
      <xdr:row>75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05CB158-3DC5-8242-9D66-634252044A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31150" y="12363450"/>
              <a:ext cx="56388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577850</xdr:colOff>
      <xdr:row>142</xdr:row>
      <xdr:rowOff>95250</xdr:rowOff>
    </xdr:from>
    <xdr:to>
      <xdr:col>23</xdr:col>
      <xdr:colOff>438150</xdr:colOff>
      <xdr:row>156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B561174-C4E7-2E4C-9E76-7AE7E7F010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85850" y="28949650"/>
              <a:ext cx="5638800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635000</xdr:colOff>
      <xdr:row>304</xdr:row>
      <xdr:rowOff>76200</xdr:rowOff>
    </xdr:from>
    <xdr:to>
      <xdr:col>23</xdr:col>
      <xdr:colOff>206375</xdr:colOff>
      <xdr:row>318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8E19BAC-6664-FBB0-3957-004AB14D80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68500" y="61849000"/>
              <a:ext cx="4524375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196850</xdr:colOff>
      <xdr:row>235</xdr:row>
      <xdr:rowOff>57150</xdr:rowOff>
    </xdr:from>
    <xdr:to>
      <xdr:col>19</xdr:col>
      <xdr:colOff>57150</xdr:colOff>
      <xdr:row>249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E0CA6E0-1A82-914E-8E50-17FD2D03C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02850" y="47809150"/>
              <a:ext cx="5638800" cy="292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209550</xdr:colOff>
      <xdr:row>127</xdr:row>
      <xdr:rowOff>184150</xdr:rowOff>
    </xdr:from>
    <xdr:to>
      <xdr:col>19</xdr:col>
      <xdr:colOff>69850</xdr:colOff>
      <xdr:row>142</xdr:row>
      <xdr:rowOff>69850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F43C574-11C3-9849-BF7F-9CD206FC84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15550" y="25990550"/>
              <a:ext cx="56388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311150</xdr:colOff>
      <xdr:row>21</xdr:row>
      <xdr:rowOff>184150</xdr:rowOff>
    </xdr:from>
    <xdr:to>
      <xdr:col>19</xdr:col>
      <xdr:colOff>171450</xdr:colOff>
      <xdr:row>36</xdr:row>
      <xdr:rowOff>69850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BD74135-1880-D345-957F-2994497F07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17150" y="4451350"/>
              <a:ext cx="5638800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274637</xdr:colOff>
      <xdr:row>4</xdr:row>
      <xdr:rowOff>115887</xdr:rowOff>
    </xdr:from>
    <xdr:to>
      <xdr:col>19</xdr:col>
      <xdr:colOff>795337</xdr:colOff>
      <xdr:row>18</xdr:row>
      <xdr:rowOff>192087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142868-B20C-9C46-A9AE-EE6E19E75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404812</xdr:colOff>
      <xdr:row>22</xdr:row>
      <xdr:rowOff>128587</xdr:rowOff>
    </xdr:from>
    <xdr:to>
      <xdr:col>20</xdr:col>
      <xdr:colOff>100012</xdr:colOff>
      <xdr:row>37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B296B3-92D9-364C-A94F-BD3E0FF0D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ikooinouye/Desktop/Schratt%20Lab/MANUSCRIPT%20MATERIALS/Primary%20data/Figure%202C%20HA-Prr7%20sp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ikooinouye/Desktop/Schratt%20Lab/MANUSCRIPT%20MATERIALS/Primary%20data/Figure%202B%20HA-Prr7R%20spi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ikooinouye/Desktop/Schratt%20Lab/MANUSCRIPT%20MATERIALS/Primary%20data/Figure%202D%20GluA1%20WB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and averages"/>
    </sheetNames>
    <sheetDataSet>
      <sheetData sheetId="0">
        <row r="3">
          <cell r="O3" t="str">
            <v>Mock pcDNA</v>
          </cell>
          <cell r="P3" t="str">
            <v>Mock HA-Prr7</v>
          </cell>
          <cell r="Q3" t="str">
            <v>PTX pcDNA</v>
          </cell>
          <cell r="R3" t="str">
            <v>PTX HA-Prr7</v>
          </cell>
        </row>
        <row r="4">
          <cell r="O4">
            <v>0.91883913664494954</v>
          </cell>
          <cell r="P4">
            <v>0.94125224409250108</v>
          </cell>
          <cell r="Q4">
            <v>0.81408014395235151</v>
          </cell>
          <cell r="R4">
            <v>0.9204703684730744</v>
          </cell>
        </row>
        <row r="5">
          <cell r="O5">
            <v>1.1026778958968262</v>
          </cell>
          <cell r="P5">
            <v>1.0594619311044662</v>
          </cell>
          <cell r="Q5">
            <v>0.8363628081221437</v>
          </cell>
          <cell r="R5">
            <v>1.4775441696989624</v>
          </cell>
        </row>
        <row r="6">
          <cell r="O6">
            <v>1.002526748245725</v>
          </cell>
          <cell r="P6">
            <v>0.78975816576697211</v>
          </cell>
          <cell r="Q6">
            <v>0.58850462071647447</v>
          </cell>
          <cell r="R6">
            <v>1.6369683362692058</v>
          </cell>
        </row>
        <row r="7">
          <cell r="O7">
            <v>1.0402368949837648</v>
          </cell>
          <cell r="P7">
            <v>1.2853550827115194</v>
          </cell>
          <cell r="Q7">
            <v>0.73268022104974817</v>
          </cell>
          <cell r="R7">
            <v>1.9184726895068263</v>
          </cell>
        </row>
        <row r="8">
          <cell r="O8">
            <v>0.90356508388032752</v>
          </cell>
          <cell r="P8">
            <v>1.6177644832787985</v>
          </cell>
          <cell r="Q8">
            <v>0.74128563493106503</v>
          </cell>
          <cell r="R8">
            <v>1.8292354868097647</v>
          </cell>
        </row>
        <row r="9">
          <cell r="O9">
            <v>1.2408108403851621</v>
          </cell>
          <cell r="P9">
            <v>1.1371588514772255</v>
          </cell>
          <cell r="Q9">
            <v>0.77009516474192796</v>
          </cell>
          <cell r="R9">
            <v>0.6947040885073329</v>
          </cell>
        </row>
        <row r="10">
          <cell r="O10">
            <v>1.072852985711868</v>
          </cell>
          <cell r="P10">
            <v>1.0058899400673456</v>
          </cell>
          <cell r="Q10">
            <v>1.0498433420293112</v>
          </cell>
          <cell r="R10">
            <v>1.8120930088079867</v>
          </cell>
        </row>
        <row r="11">
          <cell r="O11">
            <v>0.81207334227166528</v>
          </cell>
          <cell r="P11">
            <v>1.3818708309506134</v>
          </cell>
          <cell r="Q11">
            <v>0.79558175286243316</v>
          </cell>
          <cell r="R11">
            <v>1.3807136771297563</v>
          </cell>
        </row>
        <row r="12">
          <cell r="Q12">
            <v>0.83682875593208061</v>
          </cell>
          <cell r="R12">
            <v>0.60564137970676735</v>
          </cell>
        </row>
        <row r="114">
          <cell r="P114" t="str">
            <v xml:space="preserve">Mock HA-Prr7 </v>
          </cell>
          <cell r="Q114" t="str">
            <v>PTX HA-Prr7</v>
          </cell>
          <cell r="R114" t="str">
            <v>Mock pcDNA</v>
          </cell>
          <cell r="S114" t="str">
            <v>PTX pcDNA</v>
          </cell>
        </row>
        <row r="115">
          <cell r="P115">
            <v>1.0028849120634971</v>
          </cell>
          <cell r="Q115">
            <v>1.0765618771743761</v>
          </cell>
          <cell r="R115">
            <v>1.1002462117722291</v>
          </cell>
          <cell r="S115">
            <v>0.75912586881659605</v>
          </cell>
        </row>
        <row r="116">
          <cell r="P116">
            <v>1.3270260407770214</v>
          </cell>
          <cell r="Q116">
            <v>1.5735775584282194</v>
          </cell>
          <cell r="R116">
            <v>1.0417808344587711</v>
          </cell>
          <cell r="S116">
            <v>0.84675824287987789</v>
          </cell>
        </row>
        <row r="117">
          <cell r="P117">
            <v>1.4282433320102754</v>
          </cell>
          <cell r="Q117">
            <v>1.3961352911909604</v>
          </cell>
          <cell r="R117">
            <v>0.92177017312881704</v>
          </cell>
          <cell r="S117">
            <v>0.73755821497773488</v>
          </cell>
        </row>
        <row r="118">
          <cell r="P118">
            <v>1.3437085372995363</v>
          </cell>
          <cell r="Q118">
            <v>1.5508531674475581</v>
          </cell>
          <cell r="R118">
            <v>0.80560484053242853</v>
          </cell>
          <cell r="S118">
            <v>0.62322246192989028</v>
          </cell>
        </row>
        <row r="119">
          <cell r="P119">
            <v>1.271399759067231</v>
          </cell>
          <cell r="Q119">
            <v>1.3972382399074614</v>
          </cell>
          <cell r="R119">
            <v>0.88465774506415151</v>
          </cell>
          <cell r="S119">
            <v>0.91302370826072943</v>
          </cell>
        </row>
        <row r="120">
          <cell r="P120">
            <v>1.2410620618352597</v>
          </cell>
          <cell r="Q120">
            <v>1.3901434629129761</v>
          </cell>
          <cell r="R120">
            <v>1.2679721580466405</v>
          </cell>
          <cell r="S120">
            <v>0.95577956442714407</v>
          </cell>
        </row>
        <row r="121">
          <cell r="P121">
            <v>1.2007728216685467</v>
          </cell>
          <cell r="Q121">
            <v>1.5252821038885405</v>
          </cell>
          <cell r="R121">
            <v>0.98604212522413937</v>
          </cell>
          <cell r="S121">
            <v>0.84616135948927085</v>
          </cell>
        </row>
        <row r="122">
          <cell r="P122">
            <v>1.5018709819613516</v>
          </cell>
          <cell r="Q122">
            <v>1.2358987450611216</v>
          </cell>
          <cell r="R122">
            <v>1.0788859338680221</v>
          </cell>
          <cell r="S122">
            <v>0.79323333432283838</v>
          </cell>
        </row>
        <row r="222">
          <cell r="P222" t="str">
            <v xml:space="preserve">HA-Prr7 Mock </v>
          </cell>
          <cell r="Q222" t="str">
            <v>HA-Prr7 PTX</v>
          </cell>
          <cell r="R222" t="str">
            <v>pcDNA Mock</v>
          </cell>
          <cell r="S222" t="str">
            <v xml:space="preserve">pcDNA PTX </v>
          </cell>
        </row>
        <row r="223">
          <cell r="P223">
            <v>1.3158216268444765</v>
          </cell>
          <cell r="Q223">
            <v>1.2949167332373945</v>
          </cell>
          <cell r="R223">
            <v>1.1993059469073843</v>
          </cell>
          <cell r="S223">
            <v>0.6747015149652007</v>
          </cell>
        </row>
        <row r="224">
          <cell r="P224">
            <v>1.2356723737731266</v>
          </cell>
          <cell r="Q224">
            <v>1.6710775302396308</v>
          </cell>
          <cell r="R224">
            <v>0.99279931596526994</v>
          </cell>
          <cell r="S224">
            <v>0.98786208889610871</v>
          </cell>
        </row>
        <row r="225">
          <cell r="P225">
            <v>1.6493702969158295</v>
          </cell>
          <cell r="Q225">
            <v>1.1344186363447697</v>
          </cell>
          <cell r="R225">
            <v>1.2022814415408212</v>
          </cell>
          <cell r="S225">
            <v>1.1203330619152632</v>
          </cell>
        </row>
        <row r="226">
          <cell r="P226">
            <v>1.0754800683388512</v>
          </cell>
          <cell r="Q226">
            <v>1.1306998979540241</v>
          </cell>
          <cell r="R226">
            <v>1.2045369243487714</v>
          </cell>
          <cell r="S226">
            <v>0.87877985159900884</v>
          </cell>
        </row>
        <row r="227">
          <cell r="P227">
            <v>1.2107500364408961</v>
          </cell>
          <cell r="Q227">
            <v>1.1744508911858984</v>
          </cell>
          <cell r="R227">
            <v>1.1812712073957439</v>
          </cell>
          <cell r="S227">
            <v>0.65641215807484887</v>
          </cell>
        </row>
        <row r="228">
          <cell r="P228">
            <v>0.97793952141497331</v>
          </cell>
          <cell r="Q228">
            <v>1.356474843122117</v>
          </cell>
          <cell r="R228">
            <v>1.0889855428479063</v>
          </cell>
          <cell r="S228">
            <v>0.82495215971198876</v>
          </cell>
        </row>
        <row r="229">
          <cell r="P229">
            <v>1.9685356482989143</v>
          </cell>
          <cell r="Q229">
            <v>1.1750509504931834</v>
          </cell>
          <cell r="R229">
            <v>1.0394301997394575</v>
          </cell>
          <cell r="S229">
            <v>0.5174189233051345</v>
          </cell>
        </row>
        <row r="230">
          <cell r="Q230">
            <v>0.82513241253835157</v>
          </cell>
          <cell r="R230">
            <v>0.84282466688433977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1"/>
      <sheetName val="Rep2"/>
      <sheetName val="Rep3"/>
    </sheetNames>
    <sheetDataSet>
      <sheetData sheetId="0">
        <row r="73">
          <cell r="J73" t="str">
            <v xml:space="preserve">pcDNA Ctrsh </v>
          </cell>
          <cell r="K73" t="str">
            <v xml:space="preserve">pcDNA Prr7sh </v>
          </cell>
          <cell r="L73" t="str">
            <v>Mut9 Ctrsh</v>
          </cell>
          <cell r="M73" t="str">
            <v>Mut9 Prr7sh</v>
          </cell>
        </row>
        <row r="74">
          <cell r="J74">
            <v>0.97559470015630789</v>
          </cell>
          <cell r="K74">
            <v>0.90490831845862818</v>
          </cell>
          <cell r="L74">
            <v>1.6119667389714092</v>
          </cell>
          <cell r="M74">
            <v>1.4929171937081085</v>
          </cell>
        </row>
        <row r="75">
          <cell r="J75">
            <v>0.81507692085923367</v>
          </cell>
          <cell r="K75">
            <v>0.93344304206641882</v>
          </cell>
          <cell r="L75">
            <v>1.5751637111463217</v>
          </cell>
          <cell r="M75">
            <v>1.462742650830704</v>
          </cell>
        </row>
        <row r="76">
          <cell r="J76">
            <v>1.0482949776432244</v>
          </cell>
          <cell r="K76">
            <v>0.68899468162948752</v>
          </cell>
          <cell r="L76">
            <v>1.2254957517441976</v>
          </cell>
          <cell r="M76">
            <v>1.0768879748279978</v>
          </cell>
        </row>
        <row r="77">
          <cell r="J77">
            <v>0.98418316402846284</v>
          </cell>
          <cell r="K77">
            <v>1.0115772030727452</v>
          </cell>
          <cell r="L77">
            <v>1.4585574541649149</v>
          </cell>
          <cell r="M77">
            <v>1.3267707774281412</v>
          </cell>
        </row>
        <row r="78">
          <cell r="J78">
            <v>0.92042448621100337</v>
          </cell>
          <cell r="K78">
            <v>0.83903587711154826</v>
          </cell>
          <cell r="L78">
            <v>1.4794375250369871</v>
          </cell>
          <cell r="M78">
            <v>1.1861572535199203</v>
          </cell>
        </row>
        <row r="79">
          <cell r="J79">
            <v>1.0654020884646838</v>
          </cell>
          <cell r="K79">
            <v>0.60761670008664259</v>
          </cell>
          <cell r="L79">
            <v>1.8180981919698365</v>
          </cell>
          <cell r="M79">
            <v>1.3596202742797718</v>
          </cell>
        </row>
        <row r="80">
          <cell r="J80">
            <v>0.81899716388835708</v>
          </cell>
          <cell r="K80">
            <v>0.86412007513000244</v>
          </cell>
          <cell r="L80">
            <v>1.365714343426792</v>
          </cell>
          <cell r="M80">
            <v>1.5721935712206117</v>
          </cell>
        </row>
        <row r="81">
          <cell r="J81">
            <v>0.82617595861706628</v>
          </cell>
          <cell r="L81">
            <v>1.5515842280737524</v>
          </cell>
          <cell r="M81">
            <v>1.4781735087363961</v>
          </cell>
        </row>
      </sheetData>
      <sheetData sheetId="1">
        <row r="12">
          <cell r="M12" t="str">
            <v>Mut9 Ctrsh</v>
          </cell>
          <cell r="N12" t="str">
            <v>Mut9 Prr7sh</v>
          </cell>
          <cell r="O12" t="str">
            <v>pcDNA Ctrsh</v>
          </cell>
          <cell r="P12" t="str">
            <v>pcDNA Prr7sh</v>
          </cell>
        </row>
        <row r="13">
          <cell r="M13">
            <v>1.4886904536380605</v>
          </cell>
          <cell r="N13">
            <v>1.2471944419968584</v>
          </cell>
          <cell r="O13">
            <v>1.4099320097747028</v>
          </cell>
          <cell r="P13">
            <v>1.1260016771418606</v>
          </cell>
        </row>
        <row r="14">
          <cell r="M14">
            <v>1.1152962121597785</v>
          </cell>
          <cell r="N14">
            <v>1.3521289825509215</v>
          </cell>
          <cell r="O14">
            <v>1.2314358401193877</v>
          </cell>
          <cell r="P14">
            <v>1.0725904090284215</v>
          </cell>
        </row>
        <row r="15">
          <cell r="M15">
            <v>1.5028606256030399</v>
          </cell>
          <cell r="N15">
            <v>1.1235220552440399</v>
          </cell>
          <cell r="O15">
            <v>1.2185409453749287</v>
          </cell>
          <cell r="P15">
            <v>0.85967881367095433</v>
          </cell>
        </row>
        <row r="16">
          <cell r="M16">
            <v>1.948562805005533</v>
          </cell>
          <cell r="N16">
            <v>1.3157728536411013</v>
          </cell>
          <cell r="O16">
            <v>1.0693425075975234</v>
          </cell>
          <cell r="P16">
            <v>0.682450087259865</v>
          </cell>
        </row>
        <row r="17">
          <cell r="M17">
            <v>1.2413816578242167</v>
          </cell>
          <cell r="N17">
            <v>1.6502719645234121</v>
          </cell>
          <cell r="O17">
            <v>1.3803564735975953</v>
          </cell>
          <cell r="P17">
            <v>0.81178836813737643</v>
          </cell>
        </row>
        <row r="18">
          <cell r="M18">
            <v>1.4773763247060798</v>
          </cell>
          <cell r="N18">
            <v>1.3706559160806382</v>
          </cell>
          <cell r="O18">
            <v>1.3721234116914274</v>
          </cell>
          <cell r="P18">
            <v>1.0125574496692675</v>
          </cell>
        </row>
        <row r="19">
          <cell r="M19">
            <v>1.4780367354906474</v>
          </cell>
          <cell r="N19">
            <v>0.97672463946507437</v>
          </cell>
          <cell r="O19">
            <v>1.320052989626689</v>
          </cell>
          <cell r="P19">
            <v>0.70809448159926358</v>
          </cell>
        </row>
        <row r="20">
          <cell r="M20">
            <v>1.7364526974554142</v>
          </cell>
          <cell r="N20">
            <v>1.5214222267836388</v>
          </cell>
          <cell r="O20">
            <v>1.0752843533554441</v>
          </cell>
          <cell r="P20">
            <v>0.82996414619418857</v>
          </cell>
        </row>
        <row r="21">
          <cell r="M21">
            <v>1.563101002049359</v>
          </cell>
          <cell r="N21">
            <v>1.6759261694403416</v>
          </cell>
          <cell r="O21">
            <v>0.96096780983446695</v>
          </cell>
          <cell r="P21">
            <v>0.76208763173388339</v>
          </cell>
        </row>
        <row r="22">
          <cell r="M22">
            <v>1.44772564001837</v>
          </cell>
        </row>
      </sheetData>
      <sheetData sheetId="2">
        <row r="11">
          <cell r="M11" t="str">
            <v xml:space="preserve">Mut9 Ctrsh </v>
          </cell>
          <cell r="N11" t="str">
            <v>Mut9 Prr7sh</v>
          </cell>
          <cell r="O11" t="str">
            <v>pcDNA Ctrsh</v>
          </cell>
          <cell r="P11" t="str">
            <v>pcDNA Prr7sh</v>
          </cell>
        </row>
        <row r="12">
          <cell r="M12">
            <v>1.3067246973336175</v>
          </cell>
          <cell r="N12">
            <v>1.5964395372961468</v>
          </cell>
          <cell r="O12">
            <v>1.2445952312704351</v>
          </cell>
          <cell r="P12">
            <v>0.56970730925234503</v>
          </cell>
        </row>
        <row r="13">
          <cell r="M13">
            <v>1.2240752737362808</v>
          </cell>
          <cell r="N13">
            <v>1.0186439299108163</v>
          </cell>
          <cell r="O13">
            <v>1.4089270220488372</v>
          </cell>
          <cell r="P13">
            <v>0.64428585666916738</v>
          </cell>
        </row>
        <row r="14">
          <cell r="M14">
            <v>1.4109421591712525</v>
          </cell>
          <cell r="N14">
            <v>1.3994419629230259</v>
          </cell>
          <cell r="O14">
            <v>0.96323469456074418</v>
          </cell>
          <cell r="P14">
            <v>0.46289942297103831</v>
          </cell>
        </row>
        <row r="15">
          <cell r="M15">
            <v>2.04306258116699</v>
          </cell>
          <cell r="N15">
            <v>1.4755327494968089</v>
          </cell>
          <cell r="O15">
            <v>1.3250881873250511</v>
          </cell>
          <cell r="P15">
            <v>0.39357203608633962</v>
          </cell>
        </row>
        <row r="16">
          <cell r="M16">
            <v>1.623577919432263</v>
          </cell>
          <cell r="N16">
            <v>1.2697312031887602</v>
          </cell>
          <cell r="O16">
            <v>1.2426954982701175</v>
          </cell>
          <cell r="P16">
            <v>0.7199761964951279</v>
          </cell>
        </row>
        <row r="17">
          <cell r="M17">
            <v>1.5367955942750622</v>
          </cell>
          <cell r="N17">
            <v>1.3897626106307608</v>
          </cell>
          <cell r="O17">
            <v>1.1875946863288958</v>
          </cell>
          <cell r="P17">
            <v>0.70280029237731545</v>
          </cell>
        </row>
        <row r="18">
          <cell r="M18">
            <v>1.3700496400164988</v>
          </cell>
          <cell r="N18">
            <v>1.5144474985360632</v>
          </cell>
          <cell r="O18">
            <v>0.94630795131682055</v>
          </cell>
          <cell r="P18">
            <v>0.57495800219486815</v>
          </cell>
        </row>
        <row r="19">
          <cell r="M19">
            <v>1.2378502449370319</v>
          </cell>
          <cell r="N19">
            <v>1.30531809681387</v>
          </cell>
          <cell r="O19">
            <v>0.98360492563764113</v>
          </cell>
          <cell r="P19">
            <v>0.5861679311671818</v>
          </cell>
        </row>
        <row r="20">
          <cell r="M20">
            <v>0.83668176871975031</v>
          </cell>
          <cell r="O20">
            <v>0.80226559719253898</v>
          </cell>
        </row>
        <row r="21">
          <cell r="O21">
            <v>1.0552608227489366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5">
          <cell r="A35" t="str">
            <v>pSUPER Empty</v>
          </cell>
          <cell r="E35">
            <v>0.384222719006938</v>
          </cell>
          <cell r="F35">
            <v>3.0057549466629023E-2</v>
          </cell>
        </row>
        <row r="36">
          <cell r="A36" t="str">
            <v>pSUPER PTM</v>
          </cell>
          <cell r="E36">
            <v>0.53006022255601914</v>
          </cell>
          <cell r="F36">
            <v>0.11101839326441383</v>
          </cell>
        </row>
        <row r="37">
          <cell r="A37" t="str">
            <v>pSUPER 1.5</v>
          </cell>
          <cell r="E37">
            <v>0.17705507309773361</v>
          </cell>
          <cell r="F37">
            <v>0.11476375364010867</v>
          </cell>
        </row>
        <row r="43">
          <cell r="A43" t="str">
            <v>pSUPER Empty</v>
          </cell>
          <cell r="E43">
            <v>0.60815740445028643</v>
          </cell>
          <cell r="F43">
            <v>0.3115431712283796</v>
          </cell>
        </row>
        <row r="44">
          <cell r="A44" t="str">
            <v>pSUPER PTM</v>
          </cell>
          <cell r="E44">
            <v>0.75923997122921449</v>
          </cell>
          <cell r="F44">
            <v>0.37693885340184413</v>
          </cell>
        </row>
        <row r="45">
          <cell r="A45" t="str">
            <v>pSUPER 1.5</v>
          </cell>
          <cell r="E45">
            <v>1.9889473963600742E-2</v>
          </cell>
          <cell r="F45">
            <v>1.6108142761693828E-2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8660-B496-2448-9EC1-3624E9A4E07D}">
  <dimension ref="A2:U323"/>
  <sheetViews>
    <sheetView tabSelected="1" topLeftCell="A222" workbookViewId="0">
      <selection activeCell="F10" sqref="F10"/>
    </sheetView>
  </sheetViews>
  <sheetFormatPr baseColWidth="10" defaultRowHeight="16" x14ac:dyDescent="0.2"/>
  <sheetData>
    <row r="2" spans="1:19" x14ac:dyDescent="0.2">
      <c r="A2" s="20"/>
      <c r="B2" s="18" t="s">
        <v>0</v>
      </c>
      <c r="C2" s="18"/>
      <c r="D2" s="18"/>
      <c r="E2" s="18" t="s">
        <v>1</v>
      </c>
      <c r="F2" s="18"/>
      <c r="G2" s="18"/>
    </row>
    <row r="3" spans="1:19" x14ac:dyDescent="0.2">
      <c r="A3" s="20"/>
      <c r="B3" s="11" t="s">
        <v>2</v>
      </c>
      <c r="C3" s="11" t="s">
        <v>3</v>
      </c>
      <c r="D3" s="11" t="s">
        <v>4</v>
      </c>
      <c r="E3" s="11" t="s">
        <v>2</v>
      </c>
      <c r="F3" s="11" t="s">
        <v>3</v>
      </c>
      <c r="G3" s="11" t="s">
        <v>4</v>
      </c>
    </row>
    <row r="4" spans="1:19" x14ac:dyDescent="0.2">
      <c r="A4" s="20" t="s">
        <v>5</v>
      </c>
      <c r="B4" s="12">
        <v>1.1036170000000001</v>
      </c>
      <c r="C4" s="12">
        <v>0.97440499999999997</v>
      </c>
      <c r="D4" s="12">
        <v>0.72884300000000002</v>
      </c>
      <c r="E4" s="12">
        <v>0.77294700000000005</v>
      </c>
      <c r="F4" s="12">
        <v>0.72873200000000005</v>
      </c>
      <c r="G4" s="12">
        <v>0.443492</v>
      </c>
    </row>
    <row r="5" spans="1:19" x14ac:dyDescent="0.2">
      <c r="A5" s="20" t="s">
        <v>6</v>
      </c>
      <c r="B5" s="12">
        <v>0.82030999999999998</v>
      </c>
      <c r="C5" s="12">
        <v>0.66286800000000001</v>
      </c>
      <c r="D5" s="12">
        <v>0.48971700000000001</v>
      </c>
      <c r="E5" s="12">
        <v>0.74548199999999998</v>
      </c>
      <c r="F5" s="12">
        <v>0.58234699999999995</v>
      </c>
      <c r="G5" s="12">
        <v>0.34909499999999999</v>
      </c>
    </row>
    <row r="6" spans="1:19" x14ac:dyDescent="0.2">
      <c r="A6" s="20"/>
      <c r="B6" s="20"/>
      <c r="C6" s="20"/>
      <c r="D6" s="20"/>
      <c r="E6" s="20"/>
      <c r="F6" s="20"/>
      <c r="G6" s="20"/>
    </row>
    <row r="10" spans="1:19" x14ac:dyDescent="0.2">
      <c r="A10" s="1" t="s">
        <v>7</v>
      </c>
    </row>
    <row r="11" spans="1:19" x14ac:dyDescent="0.2">
      <c r="B11" t="s">
        <v>8</v>
      </c>
      <c r="C11" t="s">
        <v>9</v>
      </c>
      <c r="D11" t="s">
        <v>10</v>
      </c>
      <c r="F11" t="s">
        <v>11</v>
      </c>
      <c r="H11" t="s">
        <v>12</v>
      </c>
      <c r="L11" t="s">
        <v>12</v>
      </c>
      <c r="N11" t="s">
        <v>92</v>
      </c>
      <c r="O11" t="s">
        <v>93</v>
      </c>
      <c r="P11" t="s">
        <v>94</v>
      </c>
      <c r="Q11" t="s">
        <v>95</v>
      </c>
      <c r="R11" t="s">
        <v>96</v>
      </c>
      <c r="S11" t="s">
        <v>97</v>
      </c>
    </row>
    <row r="12" spans="1:19" x14ac:dyDescent="0.2">
      <c r="A12" t="s">
        <v>13</v>
      </c>
      <c r="B12">
        <v>1</v>
      </c>
      <c r="C12">
        <f>107.156+129.406</f>
        <v>236.56200000000001</v>
      </c>
      <c r="D12">
        <v>219</v>
      </c>
      <c r="F12">
        <f t="shared" ref="F12:F27" si="0">D12/C12</f>
        <v>0.92576153397418004</v>
      </c>
      <c r="H12">
        <f>AVERAGE(F12:F13)</f>
        <v>0.90500578800837173</v>
      </c>
      <c r="J12">
        <v>0.90500578800837173</v>
      </c>
      <c r="L12">
        <f>AVERAGE(J12:J19)</f>
        <v>0.94429553841803004</v>
      </c>
      <c r="N12">
        <v>0.90500578800837173</v>
      </c>
      <c r="O12">
        <v>0.81219964744831818</v>
      </c>
      <c r="P12">
        <v>1.2162013662694835</v>
      </c>
      <c r="Q12">
        <v>0.91874083540524443</v>
      </c>
      <c r="R12">
        <v>0.8549915125071551</v>
      </c>
      <c r="S12">
        <v>1.0178381982011147</v>
      </c>
    </row>
    <row r="13" spans="1:19" x14ac:dyDescent="0.2">
      <c r="B13">
        <v>2</v>
      </c>
      <c r="C13">
        <f>80.572+103.765</f>
        <v>184.33699999999999</v>
      </c>
      <c r="D13">
        <v>163</v>
      </c>
      <c r="F13">
        <f t="shared" si="0"/>
        <v>0.88425004204256341</v>
      </c>
      <c r="J13">
        <v>1.0064129552819083</v>
      </c>
      <c r="N13">
        <v>1.0064129552819083</v>
      </c>
      <c r="O13">
        <v>0.75413826149201357</v>
      </c>
      <c r="P13">
        <v>0.98275915472359299</v>
      </c>
      <c r="Q13">
        <v>1.0176948411983018</v>
      </c>
      <c r="R13">
        <v>0.58355188053956253</v>
      </c>
      <c r="S13">
        <v>0.88030002244053795</v>
      </c>
    </row>
    <row r="14" spans="1:19" x14ac:dyDescent="0.2">
      <c r="A14" t="s">
        <v>14</v>
      </c>
      <c r="B14">
        <v>1</v>
      </c>
      <c r="C14">
        <f>140.097+41.772</f>
        <v>181.869</v>
      </c>
      <c r="D14">
        <v>192</v>
      </c>
      <c r="F14">
        <f t="shared" si="0"/>
        <v>1.055704930471933</v>
      </c>
      <c r="H14">
        <f>AVERAGE(F14:F15)</f>
        <v>1.0064129552819083</v>
      </c>
      <c r="J14">
        <v>0.88136014927624484</v>
      </c>
      <c r="N14">
        <v>0.88136014927624484</v>
      </c>
      <c r="O14">
        <v>0.90095299814049123</v>
      </c>
      <c r="P14">
        <v>0.92980551453378757</v>
      </c>
      <c r="Q14">
        <v>0.86911742833948313</v>
      </c>
      <c r="R14">
        <v>0.71799411529949975</v>
      </c>
      <c r="S14">
        <v>0.87676905428745955</v>
      </c>
    </row>
    <row r="15" spans="1:19" x14ac:dyDescent="0.2">
      <c r="B15">
        <v>2</v>
      </c>
      <c r="C15">
        <f>115.834+40.886</f>
        <v>156.72</v>
      </c>
      <c r="D15">
        <v>150</v>
      </c>
      <c r="F15">
        <f t="shared" si="0"/>
        <v>0.95712098009188362</v>
      </c>
      <c r="J15">
        <v>0.92062997192711271</v>
      </c>
      <c r="N15">
        <v>0.92062997192711271</v>
      </c>
      <c r="O15">
        <v>0.80384117965569368</v>
      </c>
      <c r="P15">
        <v>1.1172955481005082</v>
      </c>
      <c r="Q15">
        <v>1.0595152974351119</v>
      </c>
      <c r="R15">
        <v>0.59522776192092419</v>
      </c>
      <c r="S15">
        <v>0.55880246919095145</v>
      </c>
    </row>
    <row r="16" spans="1:19" x14ac:dyDescent="0.2">
      <c r="A16" t="s">
        <v>15</v>
      </c>
      <c r="B16">
        <v>1</v>
      </c>
      <c r="C16">
        <f>131.784+83.649</f>
        <v>215.43299999999999</v>
      </c>
      <c r="D16">
        <v>210</v>
      </c>
      <c r="F16">
        <f t="shared" si="0"/>
        <v>0.97478102240603814</v>
      </c>
      <c r="H16">
        <f>AVERAGE(F16:F17)</f>
        <v>0.88136014927624484</v>
      </c>
      <c r="J16">
        <v>0.75775263703580142</v>
      </c>
      <c r="N16">
        <v>0.75775263703580142</v>
      </c>
      <c r="O16">
        <v>0.68804263289790546</v>
      </c>
      <c r="P16">
        <v>1.1969078695389204</v>
      </c>
      <c r="Q16">
        <v>0.9419949392788487</v>
      </c>
      <c r="R16">
        <v>0.78879943455792989</v>
      </c>
      <c r="S16">
        <v>0.88806956624733258</v>
      </c>
    </row>
    <row r="17" spans="1:19" x14ac:dyDescent="0.2">
      <c r="B17">
        <v>2</v>
      </c>
      <c r="C17">
        <f>116.33+112.114</f>
        <v>228.44400000000002</v>
      </c>
      <c r="D17">
        <v>180</v>
      </c>
      <c r="F17">
        <f t="shared" si="0"/>
        <v>0.78793927614645154</v>
      </c>
      <c r="J17">
        <v>0.93357835311574378</v>
      </c>
      <c r="N17">
        <v>0.93357835311574378</v>
      </c>
      <c r="O17">
        <v>0.81237407236472414</v>
      </c>
      <c r="P17">
        <v>1.0356657042623025</v>
      </c>
      <c r="Q17">
        <v>0.89197122142033725</v>
      </c>
      <c r="R17">
        <v>0.81235611121240792</v>
      </c>
      <c r="S17">
        <v>0.80401403735741606</v>
      </c>
    </row>
    <row r="18" spans="1:19" x14ac:dyDescent="0.2">
      <c r="A18" t="s">
        <v>16</v>
      </c>
      <c r="B18">
        <v>1</v>
      </c>
      <c r="C18">
        <f>148.586+69.431</f>
        <v>218.017</v>
      </c>
      <c r="D18">
        <v>205</v>
      </c>
      <c r="F18">
        <f t="shared" si="0"/>
        <v>0.94029364682570626</v>
      </c>
      <c r="H18">
        <f>AVERAGE(F18:F19)</f>
        <v>0.92062997192711271</v>
      </c>
      <c r="J18">
        <v>0.92059301940577765</v>
      </c>
      <c r="N18">
        <v>0.92059301940577765</v>
      </c>
      <c r="O18">
        <v>0.91062459624580105</v>
      </c>
      <c r="P18">
        <v>1.4049378212412886</v>
      </c>
      <c r="Q18">
        <v>0.94330063286796084</v>
      </c>
      <c r="R18">
        <v>0.95373006789086889</v>
      </c>
      <c r="S18">
        <v>0.71637741120912501</v>
      </c>
    </row>
    <row r="19" spans="1:19" x14ac:dyDescent="0.2">
      <c r="B19">
        <v>2</v>
      </c>
      <c r="C19">
        <f>81.668+152.525</f>
        <v>234.19300000000001</v>
      </c>
      <c r="D19">
        <v>211</v>
      </c>
      <c r="F19">
        <f t="shared" si="0"/>
        <v>0.90096629702851916</v>
      </c>
      <c r="J19">
        <v>1.2290314332932801</v>
      </c>
      <c r="N19">
        <v>1.2290314332932801</v>
      </c>
      <c r="O19">
        <v>0.50139873061565865</v>
      </c>
      <c r="P19">
        <v>1.1262076518152506</v>
      </c>
      <c r="R19">
        <v>0.65720392390665638</v>
      </c>
    </row>
    <row r="20" spans="1:19" x14ac:dyDescent="0.2">
      <c r="A20" t="s">
        <v>17</v>
      </c>
      <c r="B20">
        <v>1</v>
      </c>
      <c r="C20">
        <f>63.174+81.041</f>
        <v>144.215</v>
      </c>
      <c r="D20">
        <v>131</v>
      </c>
      <c r="F20">
        <f t="shared" si="0"/>
        <v>0.90836598134729396</v>
      </c>
      <c r="H20">
        <f>AVERAGE(F20:F21)</f>
        <v>0.75775263703580142</v>
      </c>
      <c r="P20">
        <v>0.92276916543365983</v>
      </c>
    </row>
    <row r="21" spans="1:19" x14ac:dyDescent="0.2">
      <c r="B21">
        <v>2</v>
      </c>
      <c r="C21">
        <f>58.926+61.31</f>
        <v>120.236</v>
      </c>
      <c r="D21">
        <v>73</v>
      </c>
      <c r="F21">
        <f t="shared" si="0"/>
        <v>0.60713929272430889</v>
      </c>
    </row>
    <row r="22" spans="1:19" x14ac:dyDescent="0.2">
      <c r="A22" t="s">
        <v>18</v>
      </c>
      <c r="B22">
        <v>1</v>
      </c>
      <c r="C22">
        <f>131.404+133.283</f>
        <v>264.68700000000001</v>
      </c>
      <c r="D22">
        <v>265</v>
      </c>
      <c r="F22">
        <f t="shared" si="0"/>
        <v>1.0011825287981653</v>
      </c>
      <c r="H22">
        <f>AVERAGE(F22:F23)</f>
        <v>0.93357835311574378</v>
      </c>
    </row>
    <row r="23" spans="1:19" x14ac:dyDescent="0.2">
      <c r="B23">
        <v>2</v>
      </c>
      <c r="C23">
        <f>192.064+37.735</f>
        <v>229.79899999999998</v>
      </c>
      <c r="D23">
        <v>199</v>
      </c>
      <c r="F23">
        <f t="shared" si="0"/>
        <v>0.86597417743332228</v>
      </c>
    </row>
    <row r="24" spans="1:19" x14ac:dyDescent="0.2">
      <c r="A24" t="s">
        <v>19</v>
      </c>
      <c r="B24">
        <v>1</v>
      </c>
      <c r="C24">
        <f>138.157+63.28</f>
        <v>201.43700000000001</v>
      </c>
      <c r="D24">
        <v>155</v>
      </c>
      <c r="F24">
        <f t="shared" si="0"/>
        <v>0.7694713483620188</v>
      </c>
      <c r="H24">
        <f>AVERAGE(F24:F25)</f>
        <v>0.92059301940577765</v>
      </c>
    </row>
    <row r="25" spans="1:19" x14ac:dyDescent="0.2">
      <c r="B25">
        <v>2</v>
      </c>
      <c r="C25">
        <f>93.634+94.849</f>
        <v>188.483</v>
      </c>
      <c r="D25">
        <v>202</v>
      </c>
      <c r="F25">
        <f t="shared" si="0"/>
        <v>1.0717146904495365</v>
      </c>
    </row>
    <row r="26" spans="1:19" x14ac:dyDescent="0.2">
      <c r="A26" t="s">
        <v>20</v>
      </c>
      <c r="B26">
        <v>1</v>
      </c>
      <c r="C26">
        <f>114.649+106.203</f>
        <v>220.852</v>
      </c>
      <c r="D26">
        <v>274</v>
      </c>
      <c r="F26">
        <f t="shared" si="0"/>
        <v>1.2406498469563327</v>
      </c>
      <c r="H26">
        <f>AVERAGE(F26:F27)</f>
        <v>1.2290314332932801</v>
      </c>
    </row>
    <row r="27" spans="1:19" x14ac:dyDescent="0.2">
      <c r="B27">
        <v>2</v>
      </c>
      <c r="C27">
        <f>136.99+87.256</f>
        <v>224.24600000000001</v>
      </c>
      <c r="D27">
        <v>273</v>
      </c>
      <c r="F27">
        <f t="shared" si="0"/>
        <v>1.2174130196302275</v>
      </c>
    </row>
    <row r="29" spans="1:19" x14ac:dyDescent="0.2">
      <c r="A29" t="s">
        <v>21</v>
      </c>
      <c r="B29">
        <v>1</v>
      </c>
      <c r="C29">
        <f>115.565+86.666</f>
        <v>202.23099999999999</v>
      </c>
      <c r="D29">
        <v>156</v>
      </c>
      <c r="F29">
        <f>D29/C29</f>
        <v>0.7713950877956397</v>
      </c>
      <c r="H29">
        <f>AVERAGE(F29:F30)</f>
        <v>0.81219964744831818</v>
      </c>
      <c r="J29">
        <v>0.81219964744831818</v>
      </c>
      <c r="L29" s="1">
        <f>AVERAGE(J29:J36)</f>
        <v>0.77294651485757582</v>
      </c>
    </row>
    <row r="30" spans="1:19" x14ac:dyDescent="0.2">
      <c r="B30">
        <v>2</v>
      </c>
      <c r="C30">
        <f>138.696+51.221</f>
        <v>189.917</v>
      </c>
      <c r="D30">
        <v>162</v>
      </c>
      <c r="F30">
        <f t="shared" ref="F30:F44" si="1">D30/C30</f>
        <v>0.85300420710099678</v>
      </c>
      <c r="J30">
        <v>0.75413826149201357</v>
      </c>
    </row>
    <row r="31" spans="1:19" x14ac:dyDescent="0.2">
      <c r="A31" t="s">
        <v>22</v>
      </c>
      <c r="B31">
        <v>1</v>
      </c>
      <c r="C31">
        <f>138.557+59.893</f>
        <v>198.45</v>
      </c>
      <c r="D31">
        <v>157</v>
      </c>
      <c r="F31">
        <f t="shared" si="1"/>
        <v>0.79113126732174355</v>
      </c>
      <c r="H31">
        <f>AVERAGE(F31:F32)</f>
        <v>0.75413826149201357</v>
      </c>
      <c r="J31">
        <v>0.90095299814049123</v>
      </c>
    </row>
    <row r="32" spans="1:19" x14ac:dyDescent="0.2">
      <c r="B32">
        <v>2</v>
      </c>
      <c r="C32">
        <f>124.63+112.421</f>
        <v>237.05099999999999</v>
      </c>
      <c r="D32">
        <v>170</v>
      </c>
      <c r="F32">
        <f t="shared" si="1"/>
        <v>0.71714525566228371</v>
      </c>
      <c r="J32">
        <v>0.80384117965569368</v>
      </c>
    </row>
    <row r="33" spans="1:10" x14ac:dyDescent="0.2">
      <c r="A33" t="s">
        <v>23</v>
      </c>
      <c r="B33">
        <v>1</v>
      </c>
      <c r="C33">
        <f>115.783+79.707</f>
        <v>195.49</v>
      </c>
      <c r="D33">
        <v>170</v>
      </c>
      <c r="F33">
        <f t="shared" si="1"/>
        <v>0.86960969870581606</v>
      </c>
      <c r="H33">
        <f>AVERAGE(F33:F34)</f>
        <v>0.90095299814049123</v>
      </c>
      <c r="J33">
        <v>0.68804263289790546</v>
      </c>
    </row>
    <row r="34" spans="1:10" x14ac:dyDescent="0.2">
      <c r="B34">
        <v>2</v>
      </c>
      <c r="C34">
        <f>129.102+102.584</f>
        <v>231.68600000000001</v>
      </c>
      <c r="D34">
        <v>216</v>
      </c>
      <c r="F34">
        <f t="shared" si="1"/>
        <v>0.93229629757516641</v>
      </c>
      <c r="J34">
        <v>0.81237407236472414</v>
      </c>
    </row>
    <row r="35" spans="1:10" x14ac:dyDescent="0.2">
      <c r="A35" t="s">
        <v>24</v>
      </c>
      <c r="B35">
        <v>1</v>
      </c>
      <c r="C35">
        <f>117.797+137.54</f>
        <v>255.33699999999999</v>
      </c>
      <c r="D35">
        <v>189</v>
      </c>
      <c r="F35">
        <f t="shared" si="1"/>
        <v>0.74019824780584098</v>
      </c>
      <c r="H35">
        <f>AVERAGE(F35:F36)</f>
        <v>0.80384117965569368</v>
      </c>
      <c r="J35">
        <v>0.91062459624580105</v>
      </c>
    </row>
    <row r="36" spans="1:10" x14ac:dyDescent="0.2">
      <c r="B36">
        <v>2</v>
      </c>
      <c r="C36">
        <f>93.431+69.108</f>
        <v>162.53899999999999</v>
      </c>
      <c r="D36">
        <v>141</v>
      </c>
      <c r="F36">
        <f t="shared" si="1"/>
        <v>0.86748411150554638</v>
      </c>
      <c r="J36">
        <v>0.50139873061565865</v>
      </c>
    </row>
    <row r="37" spans="1:10" x14ac:dyDescent="0.2">
      <c r="A37" t="s">
        <v>25</v>
      </c>
      <c r="B37">
        <v>1</v>
      </c>
      <c r="C37">
        <f>103.516+67.656</f>
        <v>171.17200000000003</v>
      </c>
      <c r="D37">
        <v>132</v>
      </c>
      <c r="F37">
        <f t="shared" si="1"/>
        <v>0.77115416072722165</v>
      </c>
      <c r="H37">
        <f>AVERAGE(F37:F38)</f>
        <v>0.68804263289790546</v>
      </c>
    </row>
    <row r="38" spans="1:10" x14ac:dyDescent="0.2">
      <c r="B38">
        <v>2</v>
      </c>
      <c r="C38">
        <f>103.063+60.592</f>
        <v>163.655</v>
      </c>
      <c r="D38">
        <v>99</v>
      </c>
      <c r="F38">
        <f t="shared" si="1"/>
        <v>0.60493110506858938</v>
      </c>
    </row>
    <row r="39" spans="1:10" x14ac:dyDescent="0.2">
      <c r="A39" t="s">
        <v>26</v>
      </c>
      <c r="B39">
        <v>1</v>
      </c>
      <c r="C39">
        <f>71.549+113.942</f>
        <v>185.49099999999999</v>
      </c>
      <c r="D39">
        <v>162</v>
      </c>
      <c r="F39">
        <f t="shared" si="1"/>
        <v>0.87335773703306363</v>
      </c>
      <c r="H39">
        <f>AVERAGE(F39:F40)</f>
        <v>0.81237407236472414</v>
      </c>
    </row>
    <row r="40" spans="1:10" x14ac:dyDescent="0.2">
      <c r="B40">
        <v>2</v>
      </c>
      <c r="C40">
        <f>61.693+87.364</f>
        <v>149.05700000000002</v>
      </c>
      <c r="D40">
        <v>112</v>
      </c>
      <c r="F40">
        <f t="shared" si="1"/>
        <v>0.75139040769638454</v>
      </c>
    </row>
    <row r="41" spans="1:10" x14ac:dyDescent="0.2">
      <c r="A41" t="s">
        <v>27</v>
      </c>
      <c r="B41">
        <v>1</v>
      </c>
      <c r="C41">
        <f>101.566+89.004</f>
        <v>190.57</v>
      </c>
      <c r="D41">
        <v>159</v>
      </c>
      <c r="F41">
        <f t="shared" si="1"/>
        <v>0.83433908799916046</v>
      </c>
      <c r="H41">
        <f>AVERAGE(F41:F42)</f>
        <v>0.91062459624580105</v>
      </c>
    </row>
    <row r="42" spans="1:10" x14ac:dyDescent="0.2">
      <c r="B42">
        <v>2</v>
      </c>
      <c r="C42">
        <f>102.11+47.853</f>
        <v>149.96299999999999</v>
      </c>
      <c r="D42">
        <v>148</v>
      </c>
      <c r="F42">
        <f t="shared" si="1"/>
        <v>0.98691010449244154</v>
      </c>
    </row>
    <row r="43" spans="1:10" x14ac:dyDescent="0.2">
      <c r="A43" t="s">
        <v>28</v>
      </c>
      <c r="B43">
        <v>1</v>
      </c>
      <c r="C43">
        <f>170.209+95.622</f>
        <v>265.83100000000002</v>
      </c>
      <c r="D43">
        <v>132</v>
      </c>
      <c r="F43">
        <f t="shared" si="1"/>
        <v>0.4965560826239227</v>
      </c>
      <c r="H43">
        <f>AVERAGE(F43:F44)</f>
        <v>0.50139873061565865</v>
      </c>
      <c r="I43" t="s">
        <v>29</v>
      </c>
    </row>
    <row r="44" spans="1:10" x14ac:dyDescent="0.2">
      <c r="B44">
        <v>2</v>
      </c>
      <c r="C44">
        <f>169.82+124.506</f>
        <v>294.32600000000002</v>
      </c>
      <c r="D44">
        <v>149</v>
      </c>
      <c r="F44">
        <f t="shared" si="1"/>
        <v>0.50624137860739449</v>
      </c>
    </row>
    <row r="46" spans="1:10" x14ac:dyDescent="0.2">
      <c r="A46" t="s">
        <v>30</v>
      </c>
      <c r="B46">
        <v>1</v>
      </c>
      <c r="C46">
        <f>103.123+103.383</f>
        <v>206.506</v>
      </c>
      <c r="D46">
        <v>262</v>
      </c>
      <c r="F46">
        <f t="shared" ref="F46:F65" si="2">D46/C46</f>
        <v>1.2687282693965309</v>
      </c>
      <c r="H46">
        <f>AVERAGE(F46:F47)</f>
        <v>1.2162013662694835</v>
      </c>
    </row>
    <row r="47" spans="1:10" x14ac:dyDescent="0.2">
      <c r="B47">
        <v>2</v>
      </c>
      <c r="C47">
        <f>165.906+66.977</f>
        <v>232.88300000000001</v>
      </c>
      <c r="D47">
        <v>271</v>
      </c>
      <c r="F47">
        <f t="shared" si="2"/>
        <v>1.1636744631424363</v>
      </c>
    </row>
    <row r="48" spans="1:10" x14ac:dyDescent="0.2">
      <c r="A48" t="s">
        <v>31</v>
      </c>
      <c r="B48">
        <v>1</v>
      </c>
      <c r="C48">
        <f>160.11+79.668</f>
        <v>239.77800000000002</v>
      </c>
      <c r="D48">
        <v>253</v>
      </c>
      <c r="F48">
        <f t="shared" si="2"/>
        <v>1.0551426736397833</v>
      </c>
      <c r="H48">
        <f>AVERAGE(F48:F49)</f>
        <v>0.98275915472359299</v>
      </c>
    </row>
    <row r="49" spans="1:12" x14ac:dyDescent="0.2">
      <c r="B49">
        <v>2</v>
      </c>
      <c r="C49">
        <f>151.604+37.329</f>
        <v>188.93300000000002</v>
      </c>
      <c r="D49">
        <v>172</v>
      </c>
      <c r="F49">
        <f t="shared" si="2"/>
        <v>0.91037563580740255</v>
      </c>
    </row>
    <row r="50" spans="1:12" x14ac:dyDescent="0.2">
      <c r="A50" t="s">
        <v>32</v>
      </c>
      <c r="B50">
        <v>1</v>
      </c>
      <c r="C50">
        <f>123.739</f>
        <v>123.739</v>
      </c>
      <c r="D50">
        <v>97</v>
      </c>
      <c r="F50">
        <f t="shared" si="2"/>
        <v>0.78390806455523321</v>
      </c>
      <c r="H50">
        <f>AVERAGE(F50:F51)</f>
        <v>0.85389995380840267</v>
      </c>
      <c r="I50" t="s">
        <v>33</v>
      </c>
    </row>
    <row r="51" spans="1:12" x14ac:dyDescent="0.2">
      <c r="B51">
        <v>2</v>
      </c>
      <c r="C51">
        <f>97.414</f>
        <v>97.414000000000001</v>
      </c>
      <c r="D51">
        <v>90</v>
      </c>
      <c r="F51">
        <f t="shared" si="2"/>
        <v>0.92389184306157224</v>
      </c>
      <c r="I51" t="s">
        <v>34</v>
      </c>
    </row>
    <row r="52" spans="1:12" x14ac:dyDescent="0.2">
      <c r="A52" t="s">
        <v>35</v>
      </c>
      <c r="B52">
        <v>1</v>
      </c>
      <c r="C52">
        <f>99.341+95.768</f>
        <v>195.10899999999998</v>
      </c>
      <c r="D52">
        <v>164</v>
      </c>
      <c r="F52">
        <f t="shared" si="2"/>
        <v>0.84055579189068685</v>
      </c>
      <c r="H52">
        <f>AVERAGE(F52:F53)</f>
        <v>0.92980551453378757</v>
      </c>
    </row>
    <row r="53" spans="1:12" x14ac:dyDescent="0.2">
      <c r="B53">
        <v>2</v>
      </c>
      <c r="C53">
        <f>93.374+89.148</f>
        <v>182.52199999999999</v>
      </c>
      <c r="D53">
        <v>186</v>
      </c>
      <c r="F53">
        <f t="shared" si="2"/>
        <v>1.0190552371768884</v>
      </c>
      <c r="J53">
        <v>1.2162013662694835</v>
      </c>
      <c r="L53" s="1">
        <f>AVERAGE(J53:J61)</f>
        <v>1.1036166439909774</v>
      </c>
    </row>
    <row r="54" spans="1:12" x14ac:dyDescent="0.2">
      <c r="A54" t="s">
        <v>36</v>
      </c>
      <c r="B54">
        <v>1</v>
      </c>
      <c r="C54">
        <f>124.167+102.087</f>
        <v>226.25400000000002</v>
      </c>
      <c r="D54">
        <v>254</v>
      </c>
      <c r="F54">
        <f t="shared" si="2"/>
        <v>1.1226320860625667</v>
      </c>
      <c r="H54">
        <f>AVERAGE(F54:F55)</f>
        <v>1.1172955481005082</v>
      </c>
      <c r="J54">
        <v>0.98275915472359299</v>
      </c>
    </row>
    <row r="55" spans="1:12" x14ac:dyDescent="0.2">
      <c r="B55">
        <v>2</v>
      </c>
      <c r="C55">
        <f>124.464+104.861</f>
        <v>229.32499999999999</v>
      </c>
      <c r="D55">
        <v>255</v>
      </c>
      <c r="F55">
        <f t="shared" si="2"/>
        <v>1.1119590101384498</v>
      </c>
      <c r="J55">
        <v>0.92980551453378757</v>
      </c>
    </row>
    <row r="56" spans="1:12" x14ac:dyDescent="0.2">
      <c r="A56" t="s">
        <v>37</v>
      </c>
      <c r="B56">
        <v>1</v>
      </c>
      <c r="C56">
        <f>124.1+82.008</f>
        <v>206.108</v>
      </c>
      <c r="D56">
        <v>246</v>
      </c>
      <c r="F56">
        <f t="shared" si="2"/>
        <v>1.1935490131387427</v>
      </c>
      <c r="H56">
        <f>AVERAGE(F56:F57)</f>
        <v>1.1969078695389204</v>
      </c>
      <c r="J56">
        <v>1.1172955481005082</v>
      </c>
    </row>
    <row r="57" spans="1:12" x14ac:dyDescent="0.2">
      <c r="B57">
        <v>2</v>
      </c>
      <c r="C57">
        <f>124.396+78.059</f>
        <v>202.45499999999998</v>
      </c>
      <c r="D57">
        <v>243</v>
      </c>
      <c r="F57">
        <f t="shared" si="2"/>
        <v>1.2002667259390978</v>
      </c>
      <c r="J57">
        <v>1.1969078695389204</v>
      </c>
    </row>
    <row r="58" spans="1:12" x14ac:dyDescent="0.2">
      <c r="A58" t="s">
        <v>38</v>
      </c>
      <c r="B58">
        <v>1</v>
      </c>
      <c r="C58">
        <f>127.77+104.299</f>
        <v>232.06900000000002</v>
      </c>
      <c r="D58">
        <v>229</v>
      </c>
      <c r="F58">
        <f t="shared" si="2"/>
        <v>0.98677548487734246</v>
      </c>
      <c r="H58">
        <f>AVERAGE(F58:F59)</f>
        <v>1.0356657042623025</v>
      </c>
      <c r="J58">
        <v>1.0356657042623025</v>
      </c>
    </row>
    <row r="59" spans="1:12" x14ac:dyDescent="0.2">
      <c r="B59">
        <v>2</v>
      </c>
      <c r="C59">
        <f>97.987+104.861</f>
        <v>202.84800000000001</v>
      </c>
      <c r="D59">
        <v>220</v>
      </c>
      <c r="F59">
        <f t="shared" si="2"/>
        <v>1.0845559236472628</v>
      </c>
      <c r="J59">
        <v>1.4049378212412886</v>
      </c>
    </row>
    <row r="60" spans="1:12" x14ac:dyDescent="0.2">
      <c r="A60" t="s">
        <v>39</v>
      </c>
      <c r="B60">
        <v>1</v>
      </c>
      <c r="C60">
        <f>146.003+54.829</f>
        <v>200.83199999999999</v>
      </c>
      <c r="D60">
        <v>282</v>
      </c>
      <c r="F60">
        <f t="shared" si="2"/>
        <v>1.4041586998087954</v>
      </c>
      <c r="H60">
        <f>AVERAGE(F60:F61)</f>
        <v>1.4049378212412886</v>
      </c>
      <c r="J60">
        <v>1.1262076518152506</v>
      </c>
    </row>
    <row r="61" spans="1:12" x14ac:dyDescent="0.2">
      <c r="B61">
        <v>2</v>
      </c>
      <c r="C61">
        <f>136.828+48.131</f>
        <v>184.959</v>
      </c>
      <c r="D61">
        <v>260</v>
      </c>
      <c r="F61">
        <f t="shared" si="2"/>
        <v>1.4057169426737817</v>
      </c>
      <c r="J61">
        <v>0.92276916543365983</v>
      </c>
    </row>
    <row r="62" spans="1:12" x14ac:dyDescent="0.2">
      <c r="A62" t="s">
        <v>40</v>
      </c>
      <c r="B62">
        <v>1</v>
      </c>
      <c r="C62">
        <f>188.085+128.703</f>
        <v>316.78800000000001</v>
      </c>
      <c r="D62">
        <v>349</v>
      </c>
      <c r="F62">
        <f t="shared" si="2"/>
        <v>1.1016831445635566</v>
      </c>
      <c r="H62">
        <f>AVERAGE(F62:F63)</f>
        <v>1.1262076518152506</v>
      </c>
    </row>
    <row r="63" spans="1:12" x14ac:dyDescent="0.2">
      <c r="B63">
        <v>2</v>
      </c>
      <c r="C63">
        <f>140.081+78.041</f>
        <v>218.12199999999999</v>
      </c>
      <c r="D63">
        <v>251</v>
      </c>
      <c r="F63">
        <f t="shared" si="2"/>
        <v>1.1507321590669444</v>
      </c>
    </row>
    <row r="64" spans="1:12" x14ac:dyDescent="0.2">
      <c r="A64" t="s">
        <v>41</v>
      </c>
      <c r="B64">
        <v>1</v>
      </c>
      <c r="C64">
        <f>134.66+69.006</f>
        <v>203.666</v>
      </c>
      <c r="D64">
        <v>166</v>
      </c>
      <c r="F64">
        <f t="shared" si="2"/>
        <v>0.81505995109640295</v>
      </c>
      <c r="H64">
        <f>AVERAGE(F64:F65)</f>
        <v>0.92276916543365983</v>
      </c>
    </row>
    <row r="65" spans="1:12" x14ac:dyDescent="0.2">
      <c r="B65">
        <v>2</v>
      </c>
      <c r="C65">
        <f>84.632+91.985</f>
        <v>176.61700000000002</v>
      </c>
      <c r="D65">
        <v>182</v>
      </c>
      <c r="F65">
        <f t="shared" si="2"/>
        <v>1.0304783797709167</v>
      </c>
    </row>
    <row r="67" spans="1:12" x14ac:dyDescent="0.2">
      <c r="A67" t="s">
        <v>42</v>
      </c>
      <c r="B67">
        <v>1</v>
      </c>
      <c r="C67">
        <f>152.019+87.151</f>
        <v>239.17000000000002</v>
      </c>
      <c r="D67">
        <v>234</v>
      </c>
      <c r="F67">
        <f t="shared" ref="F67:F80" si="3">D67/C67</f>
        <v>0.97838357653551855</v>
      </c>
      <c r="H67">
        <f>AVERAGE(F67:F68)</f>
        <v>0.91874083540524443</v>
      </c>
      <c r="J67">
        <v>0.91874083540524443</v>
      </c>
      <c r="L67">
        <f>AVERAGE(J67:J73)</f>
        <v>0.9489050279921839</v>
      </c>
    </row>
    <row r="68" spans="1:12" x14ac:dyDescent="0.2">
      <c r="B68">
        <v>2</v>
      </c>
      <c r="C68">
        <f>130.75+72.952</f>
        <v>203.702</v>
      </c>
      <c r="D68">
        <v>175</v>
      </c>
      <c r="F68">
        <f t="shared" si="3"/>
        <v>0.8590980942749703</v>
      </c>
      <c r="J68">
        <v>1.0176948411983018</v>
      </c>
    </row>
    <row r="69" spans="1:12" x14ac:dyDescent="0.2">
      <c r="A69" t="s">
        <v>43</v>
      </c>
      <c r="B69">
        <v>1</v>
      </c>
      <c r="C69">
        <f>87.776+43.114</f>
        <v>130.88999999999999</v>
      </c>
      <c r="D69">
        <v>147</v>
      </c>
      <c r="F69">
        <f t="shared" si="3"/>
        <v>1.1230804492321798</v>
      </c>
      <c r="H69">
        <f>AVERAGE(F69:F70)</f>
        <v>1.0176948411983018</v>
      </c>
      <c r="J69">
        <v>0.86911742833948313</v>
      </c>
    </row>
    <row r="70" spans="1:12" x14ac:dyDescent="0.2">
      <c r="B70">
        <v>2</v>
      </c>
      <c r="C70">
        <f>127.334+74.352</f>
        <v>201.68600000000001</v>
      </c>
      <c r="D70">
        <v>184</v>
      </c>
      <c r="F70">
        <f t="shared" si="3"/>
        <v>0.91230923316442392</v>
      </c>
      <c r="J70">
        <v>1.0595152974351119</v>
      </c>
    </row>
    <row r="71" spans="1:12" x14ac:dyDescent="0.2">
      <c r="A71" t="s">
        <v>44</v>
      </c>
      <c r="B71">
        <v>1</v>
      </c>
      <c r="C71">
        <f>89.354+73.486</f>
        <v>162.84</v>
      </c>
      <c r="D71">
        <v>148</v>
      </c>
      <c r="F71">
        <f t="shared" si="3"/>
        <v>0.90886760009825596</v>
      </c>
      <c r="H71">
        <f>AVERAGE(F71:F72)</f>
        <v>0.86911742833948313</v>
      </c>
      <c r="J71">
        <v>0.9419949392788487</v>
      </c>
    </row>
    <row r="72" spans="1:12" x14ac:dyDescent="0.2">
      <c r="B72">
        <v>2</v>
      </c>
      <c r="C72">
        <f>124.458+32.288</f>
        <v>156.74599999999998</v>
      </c>
      <c r="D72">
        <v>130</v>
      </c>
      <c r="F72">
        <f t="shared" si="3"/>
        <v>0.82936725658071031</v>
      </c>
      <c r="J72">
        <v>0.89197122142033725</v>
      </c>
    </row>
    <row r="73" spans="1:12" x14ac:dyDescent="0.2">
      <c r="A73" t="s">
        <v>45</v>
      </c>
      <c r="B73">
        <v>1</v>
      </c>
      <c r="C73">
        <f>117.924+84.224</f>
        <v>202.14800000000002</v>
      </c>
      <c r="D73">
        <v>193</v>
      </c>
      <c r="F73">
        <f t="shared" si="3"/>
        <v>0.95474602766290029</v>
      </c>
      <c r="H73">
        <f>AVERAGE(F73:F74)</f>
        <v>1.0595152974351119</v>
      </c>
      <c r="J73">
        <v>0.94330063286796084</v>
      </c>
    </row>
    <row r="74" spans="1:12" x14ac:dyDescent="0.2">
      <c r="B74">
        <v>2</v>
      </c>
      <c r="C74">
        <f>89.698+59.75</f>
        <v>149.44799999999998</v>
      </c>
      <c r="D74">
        <v>174</v>
      </c>
      <c r="F74">
        <f t="shared" si="3"/>
        <v>1.1642845672073232</v>
      </c>
    </row>
    <row r="75" spans="1:12" x14ac:dyDescent="0.2">
      <c r="A75" t="s">
        <v>46</v>
      </c>
      <c r="B75">
        <v>1</v>
      </c>
      <c r="C75">
        <f>108.605+88.708</f>
        <v>197.31299999999999</v>
      </c>
      <c r="D75">
        <v>181</v>
      </c>
      <c r="F75">
        <f t="shared" si="3"/>
        <v>0.91732425131643636</v>
      </c>
      <c r="H75">
        <f>AVERAGE(F75:F76)</f>
        <v>0.9419949392788487</v>
      </c>
    </row>
    <row r="76" spans="1:12" x14ac:dyDescent="0.2">
      <c r="B76">
        <v>2</v>
      </c>
      <c r="C76">
        <f>98.242+30.034</f>
        <v>128.27600000000001</v>
      </c>
      <c r="D76">
        <v>124</v>
      </c>
      <c r="F76">
        <f t="shared" si="3"/>
        <v>0.96666562724126093</v>
      </c>
    </row>
    <row r="77" spans="1:12" x14ac:dyDescent="0.2">
      <c r="A77" t="s">
        <v>47</v>
      </c>
      <c r="B77">
        <v>1</v>
      </c>
      <c r="C77">
        <f>171.696+75.53</f>
        <v>247.226</v>
      </c>
      <c r="D77">
        <v>214</v>
      </c>
      <c r="F77">
        <f t="shared" si="3"/>
        <v>0.86560475030943351</v>
      </c>
      <c r="H77">
        <f>AVERAGE(F77:F78)</f>
        <v>0.89197122142033725</v>
      </c>
    </row>
    <row r="78" spans="1:12" x14ac:dyDescent="0.2">
      <c r="B78">
        <v>2</v>
      </c>
      <c r="C78">
        <f>92.686+79.364</f>
        <v>172.05</v>
      </c>
      <c r="D78">
        <v>158</v>
      </c>
      <c r="F78">
        <f t="shared" si="3"/>
        <v>0.91833769253124087</v>
      </c>
    </row>
    <row r="79" spans="1:12" x14ac:dyDescent="0.2">
      <c r="A79" t="s">
        <v>48</v>
      </c>
      <c r="B79">
        <v>1</v>
      </c>
      <c r="C79">
        <f>114.643+80.053</f>
        <v>194.696</v>
      </c>
      <c r="D79">
        <v>149</v>
      </c>
      <c r="F79">
        <f t="shared" si="3"/>
        <v>0.76529564038295605</v>
      </c>
      <c r="H79">
        <f>AVERAGE(F79:F80)</f>
        <v>0.94330063286796084</v>
      </c>
    </row>
    <row r="80" spans="1:12" x14ac:dyDescent="0.2">
      <c r="B80">
        <v>2</v>
      </c>
      <c r="C80">
        <f>82.31+39.869</f>
        <v>122.179</v>
      </c>
      <c r="D80">
        <v>137</v>
      </c>
      <c r="F80">
        <f t="shared" si="3"/>
        <v>1.1213056253529656</v>
      </c>
    </row>
    <row r="82" spans="1:12" x14ac:dyDescent="0.2">
      <c r="A82" t="s">
        <v>49</v>
      </c>
      <c r="B82">
        <v>1</v>
      </c>
      <c r="C82">
        <f>187.538+89.501</f>
        <v>277.03899999999999</v>
      </c>
      <c r="D82">
        <v>252</v>
      </c>
      <c r="F82">
        <f t="shared" ref="F82:F97" si="4">D82/C82</f>
        <v>0.90961922328625211</v>
      </c>
      <c r="H82">
        <f>AVERAGE(F82:F83)</f>
        <v>0.8549915125071551</v>
      </c>
      <c r="I82" s="2" t="s">
        <v>50</v>
      </c>
    </row>
    <row r="83" spans="1:12" x14ac:dyDescent="0.2">
      <c r="B83">
        <v>2</v>
      </c>
      <c r="C83">
        <f>84.442+80.483</f>
        <v>164.92500000000001</v>
      </c>
      <c r="D83">
        <v>132</v>
      </c>
      <c r="F83">
        <f t="shared" si="4"/>
        <v>0.8003638017280581</v>
      </c>
    </row>
    <row r="84" spans="1:12" x14ac:dyDescent="0.2">
      <c r="A84" t="s">
        <v>51</v>
      </c>
      <c r="B84">
        <v>1</v>
      </c>
      <c r="C84">
        <f>163.561+132.638</f>
        <v>296.19900000000001</v>
      </c>
      <c r="D84">
        <v>163</v>
      </c>
      <c r="F84">
        <f t="shared" si="4"/>
        <v>0.55030570663641676</v>
      </c>
      <c r="H84">
        <f>AVERAGE(F84:F85)</f>
        <v>0.58355188053956253</v>
      </c>
    </row>
    <row r="85" spans="1:12" x14ac:dyDescent="0.2">
      <c r="B85">
        <v>2</v>
      </c>
      <c r="C85">
        <f>136.941+33.293</f>
        <v>170.23400000000001</v>
      </c>
      <c r="D85">
        <v>105</v>
      </c>
      <c r="F85">
        <f t="shared" si="4"/>
        <v>0.61679805444270819</v>
      </c>
      <c r="J85" t="s">
        <v>52</v>
      </c>
    </row>
    <row r="86" spans="1:12" x14ac:dyDescent="0.2">
      <c r="A86" t="s">
        <v>53</v>
      </c>
      <c r="B86">
        <v>1</v>
      </c>
      <c r="C86">
        <f>125.011+106.533</f>
        <v>231.54399999999998</v>
      </c>
      <c r="D86">
        <v>149</v>
      </c>
      <c r="F86">
        <f t="shared" si="4"/>
        <v>0.64350620184500573</v>
      </c>
      <c r="H86">
        <f>AVERAGE(F86:F87)</f>
        <v>0.71799411529949975</v>
      </c>
    </row>
    <row r="87" spans="1:12" x14ac:dyDescent="0.2">
      <c r="B87">
        <v>2</v>
      </c>
      <c r="C87">
        <f>87.346+72.91</f>
        <v>160.256</v>
      </c>
      <c r="D87">
        <v>127</v>
      </c>
      <c r="F87">
        <f t="shared" si="4"/>
        <v>0.79248202875399365</v>
      </c>
      <c r="J87">
        <v>0.8549915125071551</v>
      </c>
      <c r="L87" s="1">
        <f>AVERAGE(J87:J94)</f>
        <v>0.74548185097937547</v>
      </c>
    </row>
    <row r="88" spans="1:12" x14ac:dyDescent="0.2">
      <c r="A88" t="s">
        <v>54</v>
      </c>
      <c r="B88">
        <v>1</v>
      </c>
      <c r="C88">
        <f>101.634+96.124</f>
        <v>197.75799999999998</v>
      </c>
      <c r="D88">
        <v>124</v>
      </c>
      <c r="F88">
        <f t="shared" si="4"/>
        <v>0.62702899503433496</v>
      </c>
      <c r="H88">
        <f>AVERAGE(F88:F89)</f>
        <v>0.59522776192092419</v>
      </c>
      <c r="J88">
        <v>0.58355188053956253</v>
      </c>
    </row>
    <row r="89" spans="1:12" x14ac:dyDescent="0.2">
      <c r="B89">
        <v>2</v>
      </c>
      <c r="C89">
        <f>123.533+144.47</f>
        <v>268.00299999999999</v>
      </c>
      <c r="D89">
        <v>151</v>
      </c>
      <c r="F89">
        <f t="shared" si="4"/>
        <v>0.56342652880751343</v>
      </c>
      <c r="J89">
        <v>0.71799411529949975</v>
      </c>
    </row>
    <row r="90" spans="1:12" x14ac:dyDescent="0.2">
      <c r="A90" t="s">
        <v>55</v>
      </c>
      <c r="B90">
        <v>1</v>
      </c>
      <c r="C90">
        <f>127.47+72.18</f>
        <v>199.65</v>
      </c>
      <c r="D90">
        <v>151</v>
      </c>
      <c r="F90">
        <f t="shared" si="4"/>
        <v>0.75632356624092156</v>
      </c>
      <c r="H90">
        <f>AVERAGE(F90:F91)</f>
        <v>0.78879943455792989</v>
      </c>
      <c r="J90">
        <v>0.59522776192092419</v>
      </c>
    </row>
    <row r="91" spans="1:12" x14ac:dyDescent="0.2">
      <c r="B91">
        <v>2</v>
      </c>
      <c r="C91">
        <f>128.191+82.457</f>
        <v>210.648</v>
      </c>
      <c r="D91">
        <v>173</v>
      </c>
      <c r="F91">
        <f t="shared" si="4"/>
        <v>0.82127530287493833</v>
      </c>
      <c r="J91">
        <v>0.78879943455792989</v>
      </c>
    </row>
    <row r="92" spans="1:12" x14ac:dyDescent="0.2">
      <c r="A92" t="s">
        <v>56</v>
      </c>
      <c r="B92">
        <v>1</v>
      </c>
      <c r="C92">
        <f>118.993+115.863</f>
        <v>234.85599999999999</v>
      </c>
      <c r="D92">
        <v>202</v>
      </c>
      <c r="F92">
        <f t="shared" si="4"/>
        <v>0.86010150900977622</v>
      </c>
      <c r="H92">
        <f>AVERAGE(F92:F93)</f>
        <v>0.81235611121240792</v>
      </c>
      <c r="J92">
        <v>0.81235611121240792</v>
      </c>
    </row>
    <row r="93" spans="1:12" x14ac:dyDescent="0.2">
      <c r="B93">
        <v>2</v>
      </c>
      <c r="C93">
        <f>98.122+82.362</f>
        <v>180.48399999999998</v>
      </c>
      <c r="D93">
        <v>138</v>
      </c>
      <c r="F93">
        <f t="shared" si="4"/>
        <v>0.76461071341503961</v>
      </c>
      <c r="J93">
        <v>0.95373006789086889</v>
      </c>
    </row>
    <row r="94" spans="1:12" x14ac:dyDescent="0.2">
      <c r="A94" t="s">
        <v>57</v>
      </c>
      <c r="B94">
        <v>1</v>
      </c>
      <c r="C94">
        <f>83.121+49.062</f>
        <v>132.18299999999999</v>
      </c>
      <c r="D94">
        <v>111</v>
      </c>
      <c r="F94">
        <f t="shared" si="4"/>
        <v>0.83974489911713313</v>
      </c>
      <c r="H94">
        <f>AVERAGE(F94:F95)</f>
        <v>0.95373006789086889</v>
      </c>
      <c r="J94">
        <v>0.65720392390665638</v>
      </c>
    </row>
    <row r="95" spans="1:12" x14ac:dyDescent="0.2">
      <c r="B95">
        <v>2</v>
      </c>
      <c r="C95">
        <f>81.072+54.732</f>
        <v>135.804</v>
      </c>
      <c r="D95">
        <v>145</v>
      </c>
      <c r="F95">
        <f t="shared" si="4"/>
        <v>1.0677152366646048</v>
      </c>
    </row>
    <row r="96" spans="1:12" x14ac:dyDescent="0.2">
      <c r="A96" t="s">
        <v>58</v>
      </c>
      <c r="B96">
        <v>1</v>
      </c>
      <c r="C96">
        <f>55.794+77.514</f>
        <v>133.30799999999999</v>
      </c>
      <c r="D96">
        <v>83</v>
      </c>
      <c r="F96">
        <f t="shared" si="4"/>
        <v>0.62261829747652053</v>
      </c>
      <c r="H96">
        <f>AVERAGE(F96:F97)</f>
        <v>0.65720392390665638</v>
      </c>
    </row>
    <row r="97" spans="1:12" x14ac:dyDescent="0.2">
      <c r="B97">
        <v>2</v>
      </c>
      <c r="C97">
        <f>69.681+40.179</f>
        <v>109.86</v>
      </c>
      <c r="D97">
        <v>76</v>
      </c>
      <c r="F97">
        <f t="shared" si="4"/>
        <v>0.69178955033679224</v>
      </c>
    </row>
    <row r="99" spans="1:12" x14ac:dyDescent="0.2">
      <c r="A99" t="s">
        <v>59</v>
      </c>
      <c r="B99">
        <v>1</v>
      </c>
      <c r="C99">
        <f>142.375+97.051</f>
        <v>239.42599999999999</v>
      </c>
      <c r="D99">
        <v>253</v>
      </c>
      <c r="F99">
        <f t="shared" ref="F99:F112" si="5">D99/C99</f>
        <v>1.0566939263070845</v>
      </c>
      <c r="H99">
        <f>AVERAGE(F99:F100)</f>
        <v>1.0178381982011147</v>
      </c>
      <c r="J99">
        <v>1.0178381982011147</v>
      </c>
      <c r="L99" s="1">
        <f>AVERAGE(J99:J105)</f>
        <v>0.82031010841913399</v>
      </c>
    </row>
    <row r="100" spans="1:12" x14ac:dyDescent="0.2">
      <c r="B100">
        <v>2</v>
      </c>
      <c r="C100">
        <f>103.299+125.51</f>
        <v>228.80900000000003</v>
      </c>
      <c r="D100">
        <v>224</v>
      </c>
      <c r="F100">
        <f t="shared" si="5"/>
        <v>0.97898247009514472</v>
      </c>
      <c r="J100">
        <v>0.88030002244053795</v>
      </c>
    </row>
    <row r="101" spans="1:12" x14ac:dyDescent="0.2">
      <c r="A101" t="s">
        <v>60</v>
      </c>
      <c r="B101">
        <v>1</v>
      </c>
      <c r="C101">
        <f>106.386+52.129</f>
        <v>158.51499999999999</v>
      </c>
      <c r="D101">
        <v>146</v>
      </c>
      <c r="F101">
        <f t="shared" si="5"/>
        <v>0.92104848121628879</v>
      </c>
      <c r="H101">
        <f>AVERAGE(F101:F102)</f>
        <v>0.88030002244053795</v>
      </c>
      <c r="J101">
        <v>0.87676905428745955</v>
      </c>
    </row>
    <row r="102" spans="1:12" x14ac:dyDescent="0.2">
      <c r="B102">
        <v>2</v>
      </c>
      <c r="C102">
        <f>73.299+64.87</f>
        <v>138.16900000000001</v>
      </c>
      <c r="D102">
        <v>116</v>
      </c>
      <c r="F102">
        <f t="shared" si="5"/>
        <v>0.83955156366478723</v>
      </c>
      <c r="J102">
        <v>0.55880246919095145</v>
      </c>
    </row>
    <row r="103" spans="1:12" x14ac:dyDescent="0.2">
      <c r="A103" t="s">
        <v>61</v>
      </c>
      <c r="B103">
        <v>1</v>
      </c>
      <c r="C103">
        <f>141.453+71.26</f>
        <v>212.71300000000002</v>
      </c>
      <c r="D103">
        <v>188</v>
      </c>
      <c r="F103">
        <f t="shared" si="5"/>
        <v>0.88381998279371732</v>
      </c>
      <c r="H103">
        <f>AVERAGE(F103:F104)</f>
        <v>0.87676905428745955</v>
      </c>
      <c r="J103">
        <v>0.88806956624733258</v>
      </c>
    </row>
    <row r="104" spans="1:12" x14ac:dyDescent="0.2">
      <c r="B104">
        <v>2</v>
      </c>
      <c r="C104">
        <f>144.168+66.245</f>
        <v>210.41300000000001</v>
      </c>
      <c r="D104">
        <v>183</v>
      </c>
      <c r="F104">
        <f t="shared" si="5"/>
        <v>0.86971812578120167</v>
      </c>
      <c r="J104">
        <v>0.80401403735741606</v>
      </c>
    </row>
    <row r="105" spans="1:12" x14ac:dyDescent="0.2">
      <c r="A105" t="s">
        <v>62</v>
      </c>
      <c r="B105">
        <v>1</v>
      </c>
      <c r="C105">
        <f>167.117+85.549</f>
        <v>252.666</v>
      </c>
      <c r="D105">
        <v>141</v>
      </c>
      <c r="F105">
        <f t="shared" si="5"/>
        <v>0.55804896582840591</v>
      </c>
      <c r="H105">
        <f>AVERAGE(F105:F106)</f>
        <v>0.55880246919095145</v>
      </c>
      <c r="J105">
        <v>0.71637741120912501</v>
      </c>
    </row>
    <row r="106" spans="1:12" x14ac:dyDescent="0.2">
      <c r="B106">
        <v>2</v>
      </c>
      <c r="C106">
        <f>121.749+55.177</f>
        <v>176.92599999999999</v>
      </c>
      <c r="D106">
        <v>99</v>
      </c>
      <c r="F106">
        <f t="shared" si="5"/>
        <v>0.55955597255349698</v>
      </c>
    </row>
    <row r="107" spans="1:12" x14ac:dyDescent="0.2">
      <c r="A107" t="s">
        <v>63</v>
      </c>
      <c r="B107">
        <v>1</v>
      </c>
      <c r="C107">
        <f>91.543+52.612</f>
        <v>144.155</v>
      </c>
      <c r="D107">
        <v>129</v>
      </c>
      <c r="F107">
        <f t="shared" si="5"/>
        <v>0.89487010509521003</v>
      </c>
      <c r="H107">
        <f>AVERAGE(F107:F108)</f>
        <v>0.88806956624733258</v>
      </c>
    </row>
    <row r="108" spans="1:12" x14ac:dyDescent="0.2">
      <c r="B108">
        <v>2</v>
      </c>
      <c r="C108">
        <f>106.672+80.558</f>
        <v>187.23000000000002</v>
      </c>
      <c r="D108">
        <v>165</v>
      </c>
      <c r="F108">
        <f t="shared" si="5"/>
        <v>0.88126902739945512</v>
      </c>
    </row>
    <row r="109" spans="1:12" x14ac:dyDescent="0.2">
      <c r="A109" t="s">
        <v>64</v>
      </c>
      <c r="B109">
        <v>1</v>
      </c>
      <c r="C109">
        <f>118.957+118.869</f>
        <v>237.82599999999999</v>
      </c>
      <c r="D109">
        <v>179</v>
      </c>
      <c r="F109">
        <f t="shared" si="5"/>
        <v>0.75265109786146178</v>
      </c>
      <c r="H109">
        <f>AVERAGE(F109:F110)</f>
        <v>0.80401403735741606</v>
      </c>
      <c r="I109" t="s">
        <v>65</v>
      </c>
    </row>
    <row r="110" spans="1:12" x14ac:dyDescent="0.2">
      <c r="B110">
        <v>2</v>
      </c>
      <c r="C110">
        <f>96.695+58.792</f>
        <v>155.48699999999999</v>
      </c>
      <c r="D110">
        <v>133</v>
      </c>
      <c r="F110">
        <f t="shared" si="5"/>
        <v>0.85537697685337044</v>
      </c>
    </row>
    <row r="111" spans="1:12" x14ac:dyDescent="0.2">
      <c r="A111" t="s">
        <v>66</v>
      </c>
      <c r="B111">
        <v>1</v>
      </c>
      <c r="C111">
        <f>173.468+100.048</f>
        <v>273.51599999999996</v>
      </c>
      <c r="D111">
        <v>197</v>
      </c>
      <c r="F111">
        <f t="shared" si="5"/>
        <v>0.72025036926541786</v>
      </c>
      <c r="H111">
        <f>AVERAGE(F111:F112)</f>
        <v>0.71637741120912501</v>
      </c>
    </row>
    <row r="112" spans="1:12" x14ac:dyDescent="0.2">
      <c r="B112">
        <v>2</v>
      </c>
      <c r="C112">
        <f>169.384+119.737</f>
        <v>289.12099999999998</v>
      </c>
      <c r="D112">
        <v>206</v>
      </c>
      <c r="F112">
        <f t="shared" si="5"/>
        <v>0.71250445315283228</v>
      </c>
    </row>
    <row r="115" spans="1:19" x14ac:dyDescent="0.2">
      <c r="A115" s="1" t="s">
        <v>67</v>
      </c>
    </row>
    <row r="117" spans="1:19" x14ac:dyDescent="0.2">
      <c r="B117" t="s">
        <v>8</v>
      </c>
      <c r="C117" t="s">
        <v>9</v>
      </c>
      <c r="D117" t="s">
        <v>10</v>
      </c>
      <c r="F117" t="s">
        <v>11</v>
      </c>
      <c r="H117" t="s">
        <v>12</v>
      </c>
    </row>
    <row r="118" spans="1:19" x14ac:dyDescent="0.2">
      <c r="A118" t="s">
        <v>13</v>
      </c>
      <c r="B118">
        <v>1</v>
      </c>
      <c r="C118">
        <f>151.491+125.668</f>
        <v>277.15899999999999</v>
      </c>
      <c r="D118">
        <v>241</v>
      </c>
      <c r="F118">
        <f>D118/C118</f>
        <v>0.86953698057793538</v>
      </c>
      <c r="H118">
        <f>AVERAGE(F118:F119)</f>
        <v>0.89345051141761822</v>
      </c>
      <c r="N118" t="s">
        <v>92</v>
      </c>
      <c r="O118" t="s">
        <v>93</v>
      </c>
      <c r="P118" t="s">
        <v>94</v>
      </c>
      <c r="Q118" t="s">
        <v>98</v>
      </c>
      <c r="R118" t="s">
        <v>96</v>
      </c>
      <c r="S118" t="s">
        <v>97</v>
      </c>
    </row>
    <row r="119" spans="1:19" x14ac:dyDescent="0.2">
      <c r="B119">
        <v>2</v>
      </c>
      <c r="C119">
        <f>120.472+84.463</f>
        <v>204.935</v>
      </c>
      <c r="D119">
        <v>188</v>
      </c>
      <c r="F119">
        <f>D119/C119</f>
        <v>0.91736404225730106</v>
      </c>
      <c r="N119">
        <v>0.89345051141761822</v>
      </c>
      <c r="O119">
        <v>0.71053942873011544</v>
      </c>
      <c r="P119">
        <v>1.1786002366073769</v>
      </c>
      <c r="Q119">
        <v>0.67168385289044985</v>
      </c>
      <c r="R119">
        <v>0.37107041949439673</v>
      </c>
      <c r="S119">
        <v>0.82848667275261323</v>
      </c>
    </row>
    <row r="120" spans="1:19" x14ac:dyDescent="0.2">
      <c r="A120" t="s">
        <v>14</v>
      </c>
      <c r="B120">
        <v>1</v>
      </c>
      <c r="C120">
        <f>98.801+118.974</f>
        <v>217.77500000000001</v>
      </c>
      <c r="D120">
        <v>274</v>
      </c>
      <c r="F120">
        <f t="shared" ref="F120:F133" si="6">D120/C120</f>
        <v>1.2581793135116519</v>
      </c>
      <c r="H120">
        <f>AVERAGE(F120:F121)</f>
        <v>1.1697657691506715</v>
      </c>
      <c r="K120">
        <v>0.89345051141761822</v>
      </c>
      <c r="L120" s="1">
        <f>AVERAGE(K120:K127)</f>
        <v>1.0250454779434817</v>
      </c>
      <c r="N120">
        <v>1.1697657691506715</v>
      </c>
      <c r="O120">
        <v>0.72365995284038709</v>
      </c>
      <c r="P120">
        <v>0.90597865411627754</v>
      </c>
      <c r="Q120">
        <v>0.67833117570850532</v>
      </c>
      <c r="R120">
        <v>0.87784318887508772</v>
      </c>
      <c r="S120">
        <v>0.58956447875746509</v>
      </c>
    </row>
    <row r="121" spans="1:19" x14ac:dyDescent="0.2">
      <c r="B121">
        <v>2</v>
      </c>
      <c r="C121">
        <f>133.878+109.336</f>
        <v>243.214</v>
      </c>
      <c r="D121">
        <v>263</v>
      </c>
      <c r="F121">
        <f t="shared" si="6"/>
        <v>1.0813522247896914</v>
      </c>
      <c r="K121">
        <v>1.1697657691506715</v>
      </c>
      <c r="N121">
        <v>1.0334292119537001</v>
      </c>
      <c r="O121">
        <v>0.70510069808143805</v>
      </c>
      <c r="P121">
        <v>0.8202736926809977</v>
      </c>
      <c r="Q121">
        <v>0.85511568701687546</v>
      </c>
      <c r="R121">
        <v>0.70026171253638059</v>
      </c>
      <c r="S121">
        <v>0.81864925421827306</v>
      </c>
    </row>
    <row r="122" spans="1:19" x14ac:dyDescent="0.2">
      <c r="A122" t="s">
        <v>15</v>
      </c>
      <c r="B122">
        <v>1</v>
      </c>
      <c r="C122">
        <f>150.964+65.845</f>
        <v>216.809</v>
      </c>
      <c r="D122">
        <v>209</v>
      </c>
      <c r="F122">
        <f t="shared" si="6"/>
        <v>0.96398212251336435</v>
      </c>
      <c r="H122">
        <f>AVERAGE(F122:F123)</f>
        <v>1.0334292119537001</v>
      </c>
      <c r="K122">
        <v>1.0334292119537001</v>
      </c>
      <c r="N122">
        <v>1.2906449479008659</v>
      </c>
      <c r="O122">
        <v>0.87391854612828856</v>
      </c>
      <c r="P122">
        <v>0.92518523639921513</v>
      </c>
      <c r="Q122">
        <v>0.62027687527584674</v>
      </c>
      <c r="R122">
        <v>0.43893351157126381</v>
      </c>
      <c r="S122">
        <v>0.66900454628821371</v>
      </c>
    </row>
    <row r="123" spans="1:19" x14ac:dyDescent="0.2">
      <c r="B123">
        <v>2</v>
      </c>
      <c r="C123">
        <f>113.182+113.498</f>
        <v>226.68</v>
      </c>
      <c r="D123">
        <v>250</v>
      </c>
      <c r="F123">
        <f t="shared" si="6"/>
        <v>1.1028763013940357</v>
      </c>
      <c r="K123">
        <v>1.2906449479008659</v>
      </c>
      <c r="N123">
        <v>1.1011041003860713</v>
      </c>
      <c r="O123">
        <v>0.76582753988115604</v>
      </c>
      <c r="P123">
        <v>1.0903701705495887</v>
      </c>
      <c r="Q123">
        <v>0.5333634109823534</v>
      </c>
      <c r="R123">
        <v>0.64507129933584961</v>
      </c>
      <c r="S123">
        <v>0.65727780302366501</v>
      </c>
    </row>
    <row r="124" spans="1:19" x14ac:dyDescent="0.2">
      <c r="A124" t="s">
        <v>16</v>
      </c>
      <c r="B124">
        <v>1</v>
      </c>
      <c r="C124">
        <f>169.184+78.886</f>
        <v>248.07</v>
      </c>
      <c r="D124">
        <v>354</v>
      </c>
      <c r="F124">
        <f t="shared" si="6"/>
        <v>1.4270165679042206</v>
      </c>
      <c r="H124">
        <f>AVERAGE(F124:F125)</f>
        <v>1.2906449479008659</v>
      </c>
      <c r="K124">
        <v>1.1011041003860713</v>
      </c>
      <c r="N124">
        <v>0.81800642835345561</v>
      </c>
      <c r="O124">
        <v>0.72066463437624195</v>
      </c>
      <c r="P124">
        <v>0.85233469932289396</v>
      </c>
      <c r="Q124">
        <v>0.48774554172356199</v>
      </c>
      <c r="R124">
        <v>0.52621407526227926</v>
      </c>
      <c r="S124">
        <v>0.56752019267418008</v>
      </c>
    </row>
    <row r="125" spans="1:19" x14ac:dyDescent="0.2">
      <c r="B125">
        <v>2</v>
      </c>
      <c r="C125">
        <f>160.872+137.151</f>
        <v>298.02300000000002</v>
      </c>
      <c r="D125">
        <v>344</v>
      </c>
      <c r="F125">
        <f t="shared" si="6"/>
        <v>1.1542733278975112</v>
      </c>
      <c r="K125">
        <v>0.81800642835345561</v>
      </c>
      <c r="N125">
        <v>0.92246048513139534</v>
      </c>
      <c r="O125">
        <v>0.58782772359787816</v>
      </c>
      <c r="P125">
        <v>0.78450468472020107</v>
      </c>
      <c r="Q125">
        <v>0.63881838801893942</v>
      </c>
      <c r="R125">
        <v>0.52227100956689654</v>
      </c>
      <c r="S125">
        <v>0.62647635130394819</v>
      </c>
    </row>
    <row r="126" spans="1:19" x14ac:dyDescent="0.2">
      <c r="A126" t="s">
        <v>17</v>
      </c>
      <c r="B126">
        <v>1</v>
      </c>
      <c r="C126">
        <f>199.355+155.288</f>
        <v>354.64300000000003</v>
      </c>
      <c r="D126">
        <v>358</v>
      </c>
      <c r="F126">
        <f t="shared" si="6"/>
        <v>1.0094658572141562</v>
      </c>
      <c r="H126">
        <f>AVERAGE(F126:F127)</f>
        <v>1.1011041003860713</v>
      </c>
      <c r="K126">
        <v>0.92246048513139534</v>
      </c>
      <c r="N126">
        <v>0.97150236925407529</v>
      </c>
      <c r="O126">
        <v>0.95777754750734689</v>
      </c>
      <c r="P126">
        <v>1.2379940431427645</v>
      </c>
      <c r="Q126">
        <v>0.82420839069376062</v>
      </c>
      <c r="R126">
        <v>0.57710708202862926</v>
      </c>
      <c r="S126">
        <v>0.55594308810982795</v>
      </c>
    </row>
    <row r="127" spans="1:19" x14ac:dyDescent="0.2">
      <c r="B127">
        <v>2</v>
      </c>
      <c r="C127">
        <f>135.36+113.646</f>
        <v>249.00600000000003</v>
      </c>
      <c r="D127">
        <v>297</v>
      </c>
      <c r="F127">
        <f t="shared" si="6"/>
        <v>1.1927423435579865</v>
      </c>
      <c r="K127">
        <v>0.97150236925407529</v>
      </c>
      <c r="O127">
        <v>0.51327157350045449</v>
      </c>
      <c r="S127">
        <v>0.65288537998944984</v>
      </c>
    </row>
    <row r="128" spans="1:19" x14ac:dyDescent="0.2">
      <c r="A128" t="s">
        <v>18</v>
      </c>
      <c r="B128">
        <v>1</v>
      </c>
      <c r="C128">
        <f>149.843+86.479</f>
        <v>236.322</v>
      </c>
      <c r="D128">
        <v>202</v>
      </c>
      <c r="F128">
        <f t="shared" si="6"/>
        <v>0.85476595492590612</v>
      </c>
      <c r="H128">
        <f>AVERAGE(F128:F129)</f>
        <v>0.81800642835345561</v>
      </c>
    </row>
    <row r="129" spans="1:13" x14ac:dyDescent="0.2">
      <c r="B129">
        <v>2</v>
      </c>
      <c r="C129">
        <f>128.76+123.401</f>
        <v>252.161</v>
      </c>
      <c r="D129">
        <v>197</v>
      </c>
      <c r="F129">
        <f t="shared" si="6"/>
        <v>0.78124690178100498</v>
      </c>
    </row>
    <row r="130" spans="1:13" x14ac:dyDescent="0.2">
      <c r="A130" t="s">
        <v>19</v>
      </c>
      <c r="B130">
        <v>1</v>
      </c>
      <c r="C130">
        <f>98.96+116.798</f>
        <v>215.75799999999998</v>
      </c>
      <c r="D130">
        <v>197</v>
      </c>
      <c r="F130">
        <f t="shared" si="6"/>
        <v>0.91306000241010765</v>
      </c>
      <c r="H130">
        <f>AVERAGE(F130:F131)</f>
        <v>0.92246048513139534</v>
      </c>
    </row>
    <row r="131" spans="1:13" x14ac:dyDescent="0.2">
      <c r="B131">
        <v>2</v>
      </c>
      <c r="C131">
        <f>142.398+122.663</f>
        <v>265.06099999999998</v>
      </c>
      <c r="D131">
        <v>247</v>
      </c>
      <c r="F131">
        <f t="shared" si="6"/>
        <v>0.93186096785268302</v>
      </c>
    </row>
    <row r="132" spans="1:13" x14ac:dyDescent="0.2">
      <c r="A132" t="s">
        <v>20</v>
      </c>
      <c r="B132">
        <v>1</v>
      </c>
      <c r="C132">
        <f>85.772+58.277</f>
        <v>144.04900000000001</v>
      </c>
      <c r="D132">
        <v>150</v>
      </c>
      <c r="F132">
        <f t="shared" si="6"/>
        <v>1.0413123312206263</v>
      </c>
      <c r="H132">
        <f>AVERAGE(F132:F133)</f>
        <v>0.97150236925407529</v>
      </c>
    </row>
    <row r="133" spans="1:13" x14ac:dyDescent="0.2">
      <c r="B133">
        <v>2</v>
      </c>
      <c r="C133">
        <f>67.715+62.041</f>
        <v>129.756</v>
      </c>
      <c r="D133">
        <v>117</v>
      </c>
      <c r="F133">
        <f t="shared" si="6"/>
        <v>0.90169240728752431</v>
      </c>
    </row>
    <row r="135" spans="1:13" x14ac:dyDescent="0.2">
      <c r="A135" t="s">
        <v>21</v>
      </c>
      <c r="B135">
        <v>1</v>
      </c>
      <c r="C135">
        <f>114.507+86.126</f>
        <v>200.63300000000001</v>
      </c>
      <c r="D135">
        <v>135</v>
      </c>
      <c r="F135">
        <f>D135/C135</f>
        <v>0.67287036529384492</v>
      </c>
      <c r="H135">
        <f>AVERAGE(F135:F136)</f>
        <v>0.71053942873011544</v>
      </c>
    </row>
    <row r="136" spans="1:13" x14ac:dyDescent="0.2">
      <c r="B136">
        <v>2</v>
      </c>
      <c r="C136">
        <f>88.518+66.519</f>
        <v>155.03700000000001</v>
      </c>
      <c r="D136">
        <v>116</v>
      </c>
      <c r="F136">
        <f t="shared" ref="F136:F152" si="7">D136/C136</f>
        <v>0.74820849216638607</v>
      </c>
      <c r="L136">
        <v>0.71053942873011544</v>
      </c>
      <c r="M136" s="1">
        <f>AVERAGE(L136:L144)</f>
        <v>0.72873196051592304</v>
      </c>
    </row>
    <row r="137" spans="1:13" x14ac:dyDescent="0.2">
      <c r="A137" t="s">
        <v>22</v>
      </c>
      <c r="B137">
        <v>1</v>
      </c>
      <c r="C137">
        <f>99.999+68.4</f>
        <v>168.399</v>
      </c>
      <c r="D137">
        <v>116</v>
      </c>
      <c r="F137">
        <f t="shared" si="7"/>
        <v>0.68884019501303451</v>
      </c>
      <c r="H137">
        <f>AVERAGE(F137:F138)</f>
        <v>0.72365995284038709</v>
      </c>
      <c r="L137">
        <v>0.72365995284038709</v>
      </c>
    </row>
    <row r="138" spans="1:13" x14ac:dyDescent="0.2">
      <c r="B138">
        <v>2</v>
      </c>
      <c r="C138">
        <f>136.802+79.42</f>
        <v>216.22199999999998</v>
      </c>
      <c r="D138">
        <v>164</v>
      </c>
      <c r="F138">
        <f t="shared" si="7"/>
        <v>0.75847971066773967</v>
      </c>
      <c r="I138" t="s">
        <v>68</v>
      </c>
      <c r="L138">
        <v>0.70510069808143805</v>
      </c>
    </row>
    <row r="139" spans="1:13" x14ac:dyDescent="0.2">
      <c r="A139" t="s">
        <v>23</v>
      </c>
      <c r="B139">
        <v>1</v>
      </c>
      <c r="C139">
        <f>103.034+125.393</f>
        <v>228.42700000000002</v>
      </c>
      <c r="D139">
        <v>152</v>
      </c>
      <c r="F139">
        <f t="shared" si="7"/>
        <v>0.66542046255477671</v>
      </c>
      <c r="H139">
        <f>AVERAGE(F139:F140)</f>
        <v>0.70510069808143805</v>
      </c>
      <c r="L139">
        <v>0.87391854612828856</v>
      </c>
    </row>
    <row r="140" spans="1:13" x14ac:dyDescent="0.2">
      <c r="B140">
        <v>2</v>
      </c>
      <c r="C140">
        <f>97.849+80.727</f>
        <v>178.57600000000002</v>
      </c>
      <c r="D140">
        <v>133</v>
      </c>
      <c r="F140">
        <f t="shared" si="7"/>
        <v>0.74478093360809949</v>
      </c>
      <c r="L140">
        <v>0.76582753988115604</v>
      </c>
    </row>
    <row r="141" spans="1:13" x14ac:dyDescent="0.2">
      <c r="A141" t="s">
        <v>24</v>
      </c>
      <c r="B141">
        <v>1</v>
      </c>
      <c r="C141">
        <f>74.557+73.358</f>
        <v>147.91500000000002</v>
      </c>
      <c r="D141">
        <v>136</v>
      </c>
      <c r="F141">
        <f t="shared" si="7"/>
        <v>0.91944697968427802</v>
      </c>
      <c r="H141">
        <f>AVERAGE(F141:F142)</f>
        <v>0.87391854612828856</v>
      </c>
      <c r="L141">
        <v>0.72066463437624195</v>
      </c>
    </row>
    <row r="142" spans="1:13" x14ac:dyDescent="0.2">
      <c r="B142">
        <v>2</v>
      </c>
      <c r="C142">
        <f>99.918+35.284</f>
        <v>135.202</v>
      </c>
      <c r="D142">
        <v>112</v>
      </c>
      <c r="F142">
        <f t="shared" si="7"/>
        <v>0.82839011257229922</v>
      </c>
      <c r="L142">
        <v>0.58782772359787816</v>
      </c>
    </row>
    <row r="143" spans="1:13" x14ac:dyDescent="0.2">
      <c r="A143" t="s">
        <v>25</v>
      </c>
      <c r="B143">
        <v>1</v>
      </c>
      <c r="C143">
        <f>119.255+84.67</f>
        <v>203.92500000000001</v>
      </c>
      <c r="D143">
        <v>177</v>
      </c>
      <c r="F143">
        <f t="shared" si="7"/>
        <v>0.86796616403089366</v>
      </c>
      <c r="H143">
        <f>AVERAGE(F143:F144)</f>
        <v>0.76582753988115604</v>
      </c>
      <c r="L143">
        <v>0.95777754750734689</v>
      </c>
    </row>
    <row r="144" spans="1:13" x14ac:dyDescent="0.2">
      <c r="B144">
        <v>2</v>
      </c>
      <c r="C144">
        <f>104.82+45.853</f>
        <v>150.673</v>
      </c>
      <c r="D144">
        <v>100</v>
      </c>
      <c r="F144">
        <f t="shared" si="7"/>
        <v>0.66368891573141842</v>
      </c>
      <c r="L144">
        <v>0.51327157350045449</v>
      </c>
    </row>
    <row r="145" spans="1:13" x14ac:dyDescent="0.2">
      <c r="A145" t="s">
        <v>69</v>
      </c>
      <c r="B145">
        <v>1</v>
      </c>
      <c r="C145">
        <f>136.321+94.904</f>
        <v>231.22499999999999</v>
      </c>
      <c r="D145">
        <v>184</v>
      </c>
      <c r="F145">
        <f t="shared" si="7"/>
        <v>0.79576170396799661</v>
      </c>
      <c r="H145">
        <f>AVERAGE(F145:F146)</f>
        <v>0.72066463437624195</v>
      </c>
    </row>
    <row r="146" spans="1:13" x14ac:dyDescent="0.2">
      <c r="B146">
        <v>2</v>
      </c>
      <c r="C146">
        <f>133.653+118.838</f>
        <v>252.49099999999999</v>
      </c>
      <c r="D146">
        <v>163</v>
      </c>
      <c r="F146">
        <f t="shared" si="7"/>
        <v>0.6455675647844874</v>
      </c>
    </row>
    <row r="147" spans="1:13" x14ac:dyDescent="0.2">
      <c r="A147" t="s">
        <v>26</v>
      </c>
      <c r="B147">
        <v>1</v>
      </c>
      <c r="C147">
        <f>99.611+63.309</f>
        <v>162.92000000000002</v>
      </c>
      <c r="D147">
        <v>107</v>
      </c>
      <c r="F147">
        <f t="shared" si="7"/>
        <v>0.65676405597839427</v>
      </c>
      <c r="H147">
        <f>AVERAGE(F147:F148)</f>
        <v>0.58782772359787816</v>
      </c>
      <c r="I147" t="s">
        <v>70</v>
      </c>
    </row>
    <row r="148" spans="1:13" x14ac:dyDescent="0.2">
      <c r="B148">
        <v>2</v>
      </c>
      <c r="C148">
        <f>114.24+72.697</f>
        <v>186.93700000000001</v>
      </c>
      <c r="D148">
        <v>97</v>
      </c>
      <c r="F148">
        <f t="shared" si="7"/>
        <v>0.51889139121736194</v>
      </c>
    </row>
    <row r="149" spans="1:13" x14ac:dyDescent="0.2">
      <c r="A149" t="s">
        <v>27</v>
      </c>
      <c r="B149">
        <v>1</v>
      </c>
      <c r="C149">
        <f>120.356+85.669</f>
        <v>206.02499999999998</v>
      </c>
      <c r="D149">
        <v>187</v>
      </c>
      <c r="F149">
        <f t="shared" si="7"/>
        <v>0.90765683776240758</v>
      </c>
      <c r="H149">
        <f>AVERAGE(F149:F150)</f>
        <v>0.95777754750734689</v>
      </c>
    </row>
    <row r="150" spans="1:13" x14ac:dyDescent="0.2">
      <c r="B150">
        <v>2</v>
      </c>
      <c r="C150">
        <f>82.385+81.322</f>
        <v>163.70699999999999</v>
      </c>
      <c r="D150">
        <v>165</v>
      </c>
      <c r="F150">
        <f t="shared" si="7"/>
        <v>1.0078982572522861</v>
      </c>
    </row>
    <row r="151" spans="1:13" x14ac:dyDescent="0.2">
      <c r="A151" t="s">
        <v>71</v>
      </c>
      <c r="B151">
        <v>1</v>
      </c>
      <c r="C151">
        <f>106.96+71.576</f>
        <v>178.536</v>
      </c>
      <c r="D151">
        <v>95</v>
      </c>
      <c r="F151">
        <f t="shared" si="7"/>
        <v>0.53210556974503742</v>
      </c>
      <c r="H151">
        <f>AVERAGE(F151:F152)</f>
        <v>0.51327157350045449</v>
      </c>
    </row>
    <row r="152" spans="1:13" x14ac:dyDescent="0.2">
      <c r="B152">
        <v>2</v>
      </c>
      <c r="C152">
        <f>71.898+77.767</f>
        <v>149.66499999999999</v>
      </c>
      <c r="D152">
        <v>74</v>
      </c>
      <c r="F152">
        <f t="shared" si="7"/>
        <v>0.49443757725587145</v>
      </c>
    </row>
    <row r="154" spans="1:13" x14ac:dyDescent="0.2">
      <c r="A154" t="s">
        <v>30</v>
      </c>
      <c r="B154">
        <v>1</v>
      </c>
      <c r="C154">
        <f>95.398+47.269</f>
        <v>142.667</v>
      </c>
      <c r="D154">
        <v>166</v>
      </c>
      <c r="F154">
        <f>D154/C154</f>
        <v>1.1635486832974689</v>
      </c>
      <c r="H154">
        <f>AVERAGE(F154:F155)</f>
        <v>1.1786002366073769</v>
      </c>
      <c r="L154">
        <v>1.1786002366073769</v>
      </c>
      <c r="M154" s="1">
        <f>AVERAGE(L154:L161)</f>
        <v>0.97440517719241448</v>
      </c>
    </row>
    <row r="155" spans="1:13" x14ac:dyDescent="0.2">
      <c r="B155">
        <v>2</v>
      </c>
      <c r="C155">
        <f>99.821+78.623</f>
        <v>178.44400000000002</v>
      </c>
      <c r="D155">
        <v>213</v>
      </c>
      <c r="F155">
        <f t="shared" ref="F155:F169" si="8">D155/C155</f>
        <v>1.1936517899172849</v>
      </c>
      <c r="L155">
        <v>0.90597865411627754</v>
      </c>
    </row>
    <row r="156" spans="1:13" x14ac:dyDescent="0.2">
      <c r="A156" t="s">
        <v>31</v>
      </c>
      <c r="B156">
        <v>1</v>
      </c>
      <c r="C156">
        <f>116.946+63.784</f>
        <v>180.73</v>
      </c>
      <c r="D156">
        <v>157</v>
      </c>
      <c r="F156">
        <f t="shared" si="8"/>
        <v>0.86869916449952977</v>
      </c>
      <c r="H156">
        <f>AVERAGE(F156:F157)</f>
        <v>0.90597865411627754</v>
      </c>
      <c r="L156">
        <v>0.8202736926809977</v>
      </c>
    </row>
    <row r="157" spans="1:13" x14ac:dyDescent="0.2">
      <c r="B157">
        <v>2</v>
      </c>
      <c r="C157">
        <f>75.784+108.683</f>
        <v>184.46700000000001</v>
      </c>
      <c r="D157">
        <v>174</v>
      </c>
      <c r="F157">
        <f t="shared" si="8"/>
        <v>0.9432581437330253</v>
      </c>
      <c r="L157">
        <v>0.92518523639921513</v>
      </c>
    </row>
    <row r="158" spans="1:13" x14ac:dyDescent="0.2">
      <c r="A158" t="s">
        <v>32</v>
      </c>
      <c r="B158">
        <v>1</v>
      </c>
      <c r="C158">
        <f>121.159+105.079</f>
        <v>226.238</v>
      </c>
      <c r="D158">
        <v>178</v>
      </c>
      <c r="F158">
        <f t="shared" si="8"/>
        <v>0.78678206136900075</v>
      </c>
      <c r="H158">
        <f>AVERAGE(F158:F159)</f>
        <v>0.8202736926809977</v>
      </c>
      <c r="L158">
        <v>1.0903701705495887</v>
      </c>
    </row>
    <row r="159" spans="1:13" x14ac:dyDescent="0.2">
      <c r="B159">
        <v>2</v>
      </c>
      <c r="C159">
        <f>147.137+81.263</f>
        <v>228.4</v>
      </c>
      <c r="D159">
        <v>195</v>
      </c>
      <c r="F159">
        <f t="shared" si="8"/>
        <v>0.85376532399299476</v>
      </c>
      <c r="L159">
        <v>0.85233469932289396</v>
      </c>
    </row>
    <row r="160" spans="1:13" x14ac:dyDescent="0.2">
      <c r="A160" t="s">
        <v>35</v>
      </c>
      <c r="B160">
        <v>1</v>
      </c>
      <c r="C160">
        <f>71.383+49.692</f>
        <v>121.07499999999999</v>
      </c>
      <c r="D160">
        <v>111</v>
      </c>
      <c r="F160">
        <f t="shared" si="8"/>
        <v>0.9167871154243239</v>
      </c>
      <c r="H160">
        <f>AVERAGE(F160:F161)</f>
        <v>0.92518523639921513</v>
      </c>
      <c r="L160">
        <v>0.78450468472020107</v>
      </c>
    </row>
    <row r="161" spans="1:13" x14ac:dyDescent="0.2">
      <c r="B161">
        <v>2</v>
      </c>
      <c r="C161">
        <f>92.151+157.425</f>
        <v>249.57600000000002</v>
      </c>
      <c r="D161">
        <v>233</v>
      </c>
      <c r="F161">
        <f t="shared" si="8"/>
        <v>0.93358335737410636</v>
      </c>
      <c r="L161">
        <v>1.2379940431427645</v>
      </c>
    </row>
    <row r="162" spans="1:13" x14ac:dyDescent="0.2">
      <c r="A162" t="s">
        <v>36</v>
      </c>
      <c r="B162">
        <v>1</v>
      </c>
      <c r="C162">
        <f>88.08+63.738</f>
        <v>151.81799999999998</v>
      </c>
      <c r="D162">
        <v>166</v>
      </c>
      <c r="F162">
        <f t="shared" si="8"/>
        <v>1.0934144831311177</v>
      </c>
      <c r="H162">
        <f>AVERAGE(F162:F163)</f>
        <v>1.0903701705495887</v>
      </c>
    </row>
    <row r="163" spans="1:13" x14ac:dyDescent="0.2">
      <c r="B163">
        <v>2</v>
      </c>
      <c r="C163">
        <f>126.946+49.634</f>
        <v>176.57999999999998</v>
      </c>
      <c r="D163">
        <v>192</v>
      </c>
      <c r="F163">
        <f t="shared" si="8"/>
        <v>1.0873258579680598</v>
      </c>
    </row>
    <row r="164" spans="1:13" x14ac:dyDescent="0.2">
      <c r="A164" t="s">
        <v>37</v>
      </c>
      <c r="B164">
        <v>1</v>
      </c>
      <c r="C164">
        <f>125.284+112.127</f>
        <v>237.411</v>
      </c>
      <c r="D164">
        <v>205</v>
      </c>
      <c r="F164">
        <f t="shared" si="8"/>
        <v>0.86348147305727196</v>
      </c>
      <c r="H164">
        <f>AVERAGE(F164:F165)</f>
        <v>0.85233469932289396</v>
      </c>
    </row>
    <row r="165" spans="1:13" x14ac:dyDescent="0.2">
      <c r="B165">
        <v>2</v>
      </c>
      <c r="C165">
        <f>69.557+168.202</f>
        <v>237.75900000000001</v>
      </c>
      <c r="D165">
        <v>200</v>
      </c>
      <c r="F165">
        <f t="shared" si="8"/>
        <v>0.84118792558851607</v>
      </c>
    </row>
    <row r="166" spans="1:13" x14ac:dyDescent="0.2">
      <c r="A166" t="s">
        <v>38</v>
      </c>
      <c r="B166">
        <v>1</v>
      </c>
      <c r="C166">
        <f>99.095+33.957</f>
        <v>133.05199999999999</v>
      </c>
      <c r="D166">
        <v>108</v>
      </c>
      <c r="F166">
        <f t="shared" si="8"/>
        <v>0.81171271382617327</v>
      </c>
      <c r="H166">
        <f>AVERAGE(F166:F167)</f>
        <v>0.78450468472020107</v>
      </c>
      <c r="J166" t="s">
        <v>72</v>
      </c>
    </row>
    <row r="167" spans="1:13" x14ac:dyDescent="0.2">
      <c r="B167">
        <v>2</v>
      </c>
      <c r="C167">
        <f>187.967+56.323</f>
        <v>244.29000000000002</v>
      </c>
      <c r="D167">
        <v>185</v>
      </c>
      <c r="F167">
        <f t="shared" si="8"/>
        <v>0.75729665561422888</v>
      </c>
    </row>
    <row r="168" spans="1:13" x14ac:dyDescent="0.2">
      <c r="A168" t="s">
        <v>40</v>
      </c>
      <c r="B168">
        <v>1</v>
      </c>
      <c r="C168">
        <f>154.576+68.605</f>
        <v>223.18099999999998</v>
      </c>
      <c r="D168">
        <v>272</v>
      </c>
      <c r="F168">
        <f t="shared" si="8"/>
        <v>1.2187417387680852</v>
      </c>
      <c r="H168">
        <f>AVERAGE(F168:F169)</f>
        <v>1.2379940431427645</v>
      </c>
    </row>
    <row r="169" spans="1:13" x14ac:dyDescent="0.2">
      <c r="B169">
        <v>2</v>
      </c>
      <c r="C169">
        <f>142.565+104.801</f>
        <v>247.36599999999999</v>
      </c>
      <c r="D169">
        <v>311</v>
      </c>
      <c r="F169">
        <f t="shared" si="8"/>
        <v>1.2572463475174438</v>
      </c>
    </row>
    <row r="171" spans="1:13" x14ac:dyDescent="0.2">
      <c r="A171" t="s">
        <v>42</v>
      </c>
      <c r="B171">
        <v>1</v>
      </c>
      <c r="C171">
        <f>74.967+90.388</f>
        <v>165.35500000000002</v>
      </c>
      <c r="D171">
        <v>106</v>
      </c>
      <c r="F171">
        <f>D171/C171</f>
        <v>0.64104502434156807</v>
      </c>
      <c r="H171">
        <f>AVERAGE(F171:F172)</f>
        <v>0.67168385289044985</v>
      </c>
    </row>
    <row r="172" spans="1:13" x14ac:dyDescent="0.2">
      <c r="B172">
        <v>2</v>
      </c>
      <c r="C172">
        <f>81.847+57.69</f>
        <v>139.53699999999998</v>
      </c>
      <c r="D172">
        <v>98</v>
      </c>
      <c r="F172">
        <f t="shared" ref="F172:F176" si="9">D172/C172</f>
        <v>0.70232268143933163</v>
      </c>
    </row>
    <row r="173" spans="1:13" x14ac:dyDescent="0.2">
      <c r="A173" t="s">
        <v>43</v>
      </c>
      <c r="B173">
        <v>1</v>
      </c>
      <c r="C173">
        <f>90.9+70.268</f>
        <v>161.16800000000001</v>
      </c>
      <c r="D173">
        <v>107</v>
      </c>
      <c r="F173">
        <f t="shared" si="9"/>
        <v>0.66390350441775037</v>
      </c>
      <c r="H173">
        <f>AVERAGE(F173:F174)</f>
        <v>0.67833117570850532</v>
      </c>
    </row>
    <row r="174" spans="1:13" x14ac:dyDescent="0.2">
      <c r="B174">
        <v>2</v>
      </c>
      <c r="C174">
        <f>126.997+64.989</f>
        <v>191.98599999999999</v>
      </c>
      <c r="D174">
        <v>133</v>
      </c>
      <c r="F174">
        <f t="shared" si="9"/>
        <v>0.69275884699926038</v>
      </c>
      <c r="L174">
        <v>0.67168385289044985</v>
      </c>
      <c r="M174" s="1">
        <f>AVERAGE(L174:L181)</f>
        <v>0.6636929152887866</v>
      </c>
    </row>
    <row r="175" spans="1:13" x14ac:dyDescent="0.2">
      <c r="A175" t="s">
        <v>73</v>
      </c>
      <c r="B175">
        <v>1</v>
      </c>
      <c r="C175">
        <f>96.556+114.001</f>
        <v>210.55700000000002</v>
      </c>
      <c r="D175">
        <v>185</v>
      </c>
      <c r="F175">
        <f t="shared" si="9"/>
        <v>0.87862194085212075</v>
      </c>
      <c r="H175">
        <f>AVERAGE(F175:F176)</f>
        <v>0.85511568701687546</v>
      </c>
      <c r="L175">
        <v>0.67833117570850532</v>
      </c>
    </row>
    <row r="176" spans="1:13" x14ac:dyDescent="0.2">
      <c r="B176">
        <v>2</v>
      </c>
      <c r="C176">
        <f>137.782+103.918</f>
        <v>241.70000000000002</v>
      </c>
      <c r="D176">
        <v>201</v>
      </c>
      <c r="F176">
        <f t="shared" si="9"/>
        <v>0.83160943318163005</v>
      </c>
      <c r="L176">
        <v>0.85511568701687546</v>
      </c>
    </row>
    <row r="177" spans="1:13" x14ac:dyDescent="0.2">
      <c r="A177" t="s">
        <v>44</v>
      </c>
      <c r="B177">
        <v>1</v>
      </c>
      <c r="C177">
        <v>175.69399999999999</v>
      </c>
      <c r="D177">
        <v>118</v>
      </c>
      <c r="F177">
        <f>D177/C177</f>
        <v>0.67162225232506523</v>
      </c>
      <c r="H177">
        <f>AVERAGE(F177:F178)</f>
        <v>0.62027687527584674</v>
      </c>
      <c r="J177" t="s">
        <v>74</v>
      </c>
      <c r="L177">
        <v>0.62027687527584674</v>
      </c>
    </row>
    <row r="178" spans="1:13" x14ac:dyDescent="0.2">
      <c r="B178">
        <v>2</v>
      </c>
      <c r="C178">
        <v>165.22200000000001</v>
      </c>
      <c r="D178">
        <f>212-118</f>
        <v>94</v>
      </c>
      <c r="F178">
        <f>D178/C178</f>
        <v>0.56893149822662836</v>
      </c>
      <c r="L178">
        <v>0.5333634109823534</v>
      </c>
    </row>
    <row r="179" spans="1:13" x14ac:dyDescent="0.2">
      <c r="A179" t="s">
        <v>75</v>
      </c>
      <c r="B179">
        <v>1</v>
      </c>
      <c r="C179">
        <f>124.715+54.402</f>
        <v>179.11700000000002</v>
      </c>
      <c r="D179">
        <v>97</v>
      </c>
      <c r="F179">
        <f t="shared" ref="F179:F186" si="10">D179/C179</f>
        <v>0.54154547027920297</v>
      </c>
      <c r="H179">
        <f>AVERAGE(F179:F180)</f>
        <v>0.5333634109823534</v>
      </c>
      <c r="L179">
        <v>0.48774554172356199</v>
      </c>
    </row>
    <row r="180" spans="1:13" x14ac:dyDescent="0.2">
      <c r="B180">
        <v>2</v>
      </c>
      <c r="C180">
        <f>148.66+125.531</f>
        <v>274.19100000000003</v>
      </c>
      <c r="D180">
        <v>144</v>
      </c>
      <c r="F180">
        <f t="shared" si="10"/>
        <v>0.52518135168550384</v>
      </c>
      <c r="L180">
        <v>0.63881838801893942</v>
      </c>
    </row>
    <row r="181" spans="1:13" x14ac:dyDescent="0.2">
      <c r="A181" t="s">
        <v>45</v>
      </c>
      <c r="B181">
        <v>1</v>
      </c>
      <c r="C181">
        <f>73.381+63.765</f>
        <v>137.14600000000002</v>
      </c>
      <c r="D181">
        <v>63</v>
      </c>
      <c r="F181">
        <f t="shared" si="10"/>
        <v>0.45936447289749605</v>
      </c>
      <c r="H181">
        <f>AVERAGE(F181:F182)</f>
        <v>0.48774554172356199</v>
      </c>
      <c r="L181">
        <v>0.82420839069376062</v>
      </c>
    </row>
    <row r="182" spans="1:13" x14ac:dyDescent="0.2">
      <c r="B182">
        <v>2</v>
      </c>
      <c r="C182">
        <f>143.31+69.816</f>
        <v>213.126</v>
      </c>
      <c r="D182">
        <v>110</v>
      </c>
      <c r="F182">
        <f t="shared" si="10"/>
        <v>0.51612661054962794</v>
      </c>
    </row>
    <row r="183" spans="1:13" x14ac:dyDescent="0.2">
      <c r="A183" t="s">
        <v>46</v>
      </c>
      <c r="B183">
        <v>1</v>
      </c>
      <c r="C183">
        <f>136.515+111.821</f>
        <v>248.33599999999998</v>
      </c>
      <c r="D183">
        <v>150</v>
      </c>
      <c r="F183">
        <f t="shared" si="10"/>
        <v>0.60402035951291799</v>
      </c>
      <c r="H183">
        <f>AVERAGE(F183:F184)</f>
        <v>0.63881838801893942</v>
      </c>
    </row>
    <row r="184" spans="1:13" x14ac:dyDescent="0.2">
      <c r="B184">
        <v>2</v>
      </c>
      <c r="C184">
        <f>110.791+132.671</f>
        <v>243.46199999999999</v>
      </c>
      <c r="D184">
        <v>164</v>
      </c>
      <c r="F184">
        <f t="shared" si="10"/>
        <v>0.67361641652496085</v>
      </c>
    </row>
    <row r="185" spans="1:13" x14ac:dyDescent="0.2">
      <c r="A185" t="s">
        <v>47</v>
      </c>
      <c r="B185">
        <v>1</v>
      </c>
      <c r="C185">
        <f>155.301+63.783</f>
        <v>219.084</v>
      </c>
      <c r="D185">
        <v>183</v>
      </c>
      <c r="F185">
        <f t="shared" si="10"/>
        <v>0.83529605082981873</v>
      </c>
      <c r="H185">
        <f>AVERAGE(F185:F186)</f>
        <v>0.82420839069376062</v>
      </c>
    </row>
    <row r="186" spans="1:13" x14ac:dyDescent="0.2">
      <c r="B186">
        <v>2</v>
      </c>
      <c r="C186">
        <f>143.933+79.896</f>
        <v>223.82900000000001</v>
      </c>
      <c r="D186">
        <v>182</v>
      </c>
      <c r="F186">
        <f t="shared" si="10"/>
        <v>0.81312073055770251</v>
      </c>
    </row>
    <row r="188" spans="1:13" x14ac:dyDescent="0.2">
      <c r="A188" t="s">
        <v>49</v>
      </c>
      <c r="B188">
        <v>1</v>
      </c>
      <c r="C188">
        <f>103.75+59.327</f>
        <v>163.077</v>
      </c>
      <c r="D188">
        <v>60</v>
      </c>
      <c r="F188">
        <f>D188/C188</f>
        <v>0.36792435475266283</v>
      </c>
      <c r="H188">
        <f>AVERAGE(F188:F189)</f>
        <v>0.37107041949439673</v>
      </c>
    </row>
    <row r="189" spans="1:13" x14ac:dyDescent="0.2">
      <c r="B189">
        <v>2</v>
      </c>
      <c r="C189">
        <f>119.5+72.902</f>
        <v>192.40199999999999</v>
      </c>
      <c r="D189">
        <v>72</v>
      </c>
      <c r="F189">
        <f t="shared" ref="F189:F203" si="11">D189/C189</f>
        <v>0.37421648423613063</v>
      </c>
    </row>
    <row r="190" spans="1:13" x14ac:dyDescent="0.2">
      <c r="A190" t="s">
        <v>51</v>
      </c>
      <c r="B190">
        <v>1</v>
      </c>
      <c r="C190">
        <f>108.26+108.965</f>
        <v>217.22500000000002</v>
      </c>
      <c r="D190">
        <v>171</v>
      </c>
      <c r="F190">
        <f t="shared" si="11"/>
        <v>0.7872022096904131</v>
      </c>
      <c r="H190">
        <f>AVERAGE(F190:F191)</f>
        <v>0.87784318887508772</v>
      </c>
      <c r="L190">
        <v>0.37107041949439673</v>
      </c>
      <c r="M190" s="1">
        <f>AVERAGE(L190:L197)</f>
        <v>0.58234653733384789</v>
      </c>
    </row>
    <row r="191" spans="1:13" x14ac:dyDescent="0.2">
      <c r="B191">
        <v>2</v>
      </c>
      <c r="C191">
        <f>111.451+50.658</f>
        <v>162.10899999999998</v>
      </c>
      <c r="D191">
        <v>157</v>
      </c>
      <c r="F191">
        <f t="shared" si="11"/>
        <v>0.96848416805976234</v>
      </c>
      <c r="L191">
        <v>0.87784318887508772</v>
      </c>
    </row>
    <row r="192" spans="1:13" x14ac:dyDescent="0.2">
      <c r="A192" t="s">
        <v>76</v>
      </c>
      <c r="B192">
        <v>1</v>
      </c>
      <c r="C192">
        <f>144.881+72.845</f>
        <v>217.726</v>
      </c>
      <c r="D192">
        <v>182</v>
      </c>
      <c r="F192">
        <f t="shared" si="11"/>
        <v>0.83591302830162684</v>
      </c>
      <c r="H192">
        <f>AVERAGE(F192:F193)</f>
        <v>0.70026171253638059</v>
      </c>
      <c r="L192">
        <v>0.70026171253638059</v>
      </c>
    </row>
    <row r="193" spans="1:13" x14ac:dyDescent="0.2">
      <c r="B193">
        <v>2</v>
      </c>
      <c r="C193">
        <f>134.007+92.698</f>
        <v>226.70499999999998</v>
      </c>
      <c r="D193">
        <v>128</v>
      </c>
      <c r="F193">
        <f t="shared" si="11"/>
        <v>0.56461039677113434</v>
      </c>
      <c r="L193">
        <v>0.43893351157126381</v>
      </c>
    </row>
    <row r="194" spans="1:13" x14ac:dyDescent="0.2">
      <c r="A194" t="s">
        <v>53</v>
      </c>
      <c r="B194">
        <v>1</v>
      </c>
      <c r="C194">
        <f>153.856+85.415</f>
        <v>239.27100000000002</v>
      </c>
      <c r="D194">
        <v>93</v>
      </c>
      <c r="F194">
        <f t="shared" si="11"/>
        <v>0.38868061737527737</v>
      </c>
      <c r="H194">
        <f>AVERAGE(F194:F195)</f>
        <v>0.43893351157126381</v>
      </c>
      <c r="J194" t="s">
        <v>77</v>
      </c>
      <c r="L194">
        <v>0.64507129933584961</v>
      </c>
    </row>
    <row r="195" spans="1:13" x14ac:dyDescent="0.2">
      <c r="B195">
        <v>2</v>
      </c>
      <c r="C195">
        <f>89.492+27.028</f>
        <v>116.52000000000001</v>
      </c>
      <c r="D195">
        <v>57</v>
      </c>
      <c r="F195">
        <f t="shared" si="11"/>
        <v>0.4891864057672502</v>
      </c>
      <c r="L195">
        <v>0.52621407526227926</v>
      </c>
    </row>
    <row r="196" spans="1:13" x14ac:dyDescent="0.2">
      <c r="A196" t="s">
        <v>54</v>
      </c>
      <c r="B196">
        <v>1</v>
      </c>
      <c r="C196">
        <f>155.938+94.674</f>
        <v>250.61199999999999</v>
      </c>
      <c r="D196">
        <v>142</v>
      </c>
      <c r="F196">
        <f t="shared" si="11"/>
        <v>0.56661293154358128</v>
      </c>
      <c r="H196">
        <f>AVERAGE(F196:F197)</f>
        <v>0.64507129933584961</v>
      </c>
      <c r="L196">
        <v>0.52227100956689654</v>
      </c>
    </row>
    <row r="197" spans="1:13" x14ac:dyDescent="0.2">
      <c r="B197">
        <v>2</v>
      </c>
      <c r="C197">
        <f>124.309+83.008</f>
        <v>207.31700000000001</v>
      </c>
      <c r="D197">
        <v>150</v>
      </c>
      <c r="F197">
        <f t="shared" si="11"/>
        <v>0.72352966712811784</v>
      </c>
      <c r="L197">
        <v>0.57710708202862926</v>
      </c>
    </row>
    <row r="198" spans="1:13" x14ac:dyDescent="0.2">
      <c r="A198" t="s">
        <v>55</v>
      </c>
      <c r="B198">
        <v>1</v>
      </c>
      <c r="C198">
        <f>121.123+70.561</f>
        <v>191.68400000000003</v>
      </c>
      <c r="D198">
        <v>96</v>
      </c>
      <c r="F198">
        <f t="shared" si="11"/>
        <v>0.50082427328311174</v>
      </c>
      <c r="H198">
        <f>AVERAGE(F198:F199)</f>
        <v>0.52621407526227926</v>
      </c>
    </row>
    <row r="199" spans="1:13" x14ac:dyDescent="0.2">
      <c r="B199">
        <v>2</v>
      </c>
      <c r="C199">
        <f>94.363+130.436</f>
        <v>224.79900000000001</v>
      </c>
      <c r="D199">
        <v>124</v>
      </c>
      <c r="F199">
        <f t="shared" si="11"/>
        <v>0.55160387724144677</v>
      </c>
    </row>
    <row r="200" spans="1:13" x14ac:dyDescent="0.2">
      <c r="A200" t="s">
        <v>56</v>
      </c>
      <c r="B200">
        <v>1</v>
      </c>
      <c r="C200">
        <f>125.764+67.063</f>
        <v>192.827</v>
      </c>
      <c r="D200">
        <v>89</v>
      </c>
      <c r="F200">
        <f t="shared" si="11"/>
        <v>0.46155362060292388</v>
      </c>
      <c r="H200">
        <f>AVERAGE(F200:F201)</f>
        <v>0.52227100956689654</v>
      </c>
    </row>
    <row r="201" spans="1:13" x14ac:dyDescent="0.2">
      <c r="B201">
        <v>2</v>
      </c>
      <c r="C201">
        <f>84.075+70.302</f>
        <v>154.37700000000001</v>
      </c>
      <c r="D201">
        <v>90</v>
      </c>
      <c r="F201">
        <f t="shared" si="11"/>
        <v>0.58298839853086915</v>
      </c>
    </row>
    <row r="202" spans="1:13" x14ac:dyDescent="0.2">
      <c r="A202" t="s">
        <v>57</v>
      </c>
      <c r="B202">
        <v>1</v>
      </c>
      <c r="C202">
        <f>127.875+81.774</f>
        <v>209.649</v>
      </c>
      <c r="D202">
        <v>118</v>
      </c>
      <c r="F202">
        <f t="shared" si="11"/>
        <v>0.5628455179848223</v>
      </c>
      <c r="H202">
        <f>AVERAGE(F202:F203)</f>
        <v>0.57710708202862926</v>
      </c>
    </row>
    <row r="203" spans="1:13" x14ac:dyDescent="0.2">
      <c r="B203">
        <v>2</v>
      </c>
      <c r="C203">
        <f>126.333+101.951</f>
        <v>228.28399999999999</v>
      </c>
      <c r="D203">
        <v>135</v>
      </c>
      <c r="F203">
        <f t="shared" si="11"/>
        <v>0.59136864607243611</v>
      </c>
    </row>
    <row r="205" spans="1:13" x14ac:dyDescent="0.2">
      <c r="A205" t="s">
        <v>59</v>
      </c>
      <c r="B205">
        <v>1</v>
      </c>
      <c r="C205">
        <f>100.185+91.031</f>
        <v>191.21600000000001</v>
      </c>
      <c r="D205">
        <v>206</v>
      </c>
      <c r="F205">
        <f t="shared" ref="F205:F222" si="12">D205/C205</f>
        <v>1.077315705798678</v>
      </c>
      <c r="H205">
        <f>AVERAGE(F205:F206)</f>
        <v>0.82848667275261323</v>
      </c>
    </row>
    <row r="206" spans="1:13" x14ac:dyDescent="0.2">
      <c r="B206">
        <v>2</v>
      </c>
      <c r="C206">
        <f>111.378+109.442</f>
        <v>220.82</v>
      </c>
      <c r="D206">
        <v>128</v>
      </c>
      <c r="F206">
        <f t="shared" si="12"/>
        <v>0.57965763970654838</v>
      </c>
      <c r="L206">
        <v>0.82848667275261323</v>
      </c>
      <c r="M206" s="1">
        <f>AVERAGE(L206:L214)</f>
        <v>0.66286752967973728</v>
      </c>
    </row>
    <row r="207" spans="1:13" x14ac:dyDescent="0.2">
      <c r="A207" t="s">
        <v>60</v>
      </c>
      <c r="B207">
        <v>1</v>
      </c>
      <c r="C207">
        <f>121.513+116.901</f>
        <v>238.41399999999999</v>
      </c>
      <c r="D207">
        <v>150</v>
      </c>
      <c r="F207">
        <f t="shared" si="12"/>
        <v>0.62915768369307179</v>
      </c>
      <c r="H207">
        <f>AVERAGE(F207:F208)</f>
        <v>0.58956447875746509</v>
      </c>
      <c r="L207">
        <v>0.58956447875746509</v>
      </c>
    </row>
    <row r="208" spans="1:13" x14ac:dyDescent="0.2">
      <c r="B208">
        <v>2</v>
      </c>
      <c r="C208">
        <f>114.91+88.737</f>
        <v>203.64699999999999</v>
      </c>
      <c r="D208">
        <v>112</v>
      </c>
      <c r="F208">
        <f t="shared" si="12"/>
        <v>0.5499712738218584</v>
      </c>
      <c r="L208">
        <v>0.81864925421827306</v>
      </c>
    </row>
    <row r="209" spans="1:12" x14ac:dyDescent="0.2">
      <c r="A209" t="s">
        <v>61</v>
      </c>
      <c r="B209">
        <v>1</v>
      </c>
      <c r="C209">
        <f>67.879+56.281</f>
        <v>124.16</v>
      </c>
      <c r="D209">
        <v>86</v>
      </c>
      <c r="F209">
        <f t="shared" si="12"/>
        <v>0.69265463917525771</v>
      </c>
      <c r="H209">
        <f>AVERAGE(F209:F210)</f>
        <v>0.81864925421827306</v>
      </c>
      <c r="L209">
        <v>0.66900454628821371</v>
      </c>
    </row>
    <row r="210" spans="1:12" x14ac:dyDescent="0.2">
      <c r="B210">
        <v>2</v>
      </c>
      <c r="C210">
        <f>140.604+92.288</f>
        <v>232.892</v>
      </c>
      <c r="D210">
        <v>220</v>
      </c>
      <c r="F210">
        <f t="shared" si="12"/>
        <v>0.94464386926128852</v>
      </c>
      <c r="L210">
        <v>0.65727780302366501</v>
      </c>
    </row>
    <row r="211" spans="1:12" x14ac:dyDescent="0.2">
      <c r="A211" t="s">
        <v>62</v>
      </c>
      <c r="B211">
        <v>1</v>
      </c>
      <c r="C211">
        <f>97.522+56.102</f>
        <v>153.624</v>
      </c>
      <c r="D211">
        <v>108</v>
      </c>
      <c r="F211">
        <f t="shared" si="12"/>
        <v>0.70301515388220592</v>
      </c>
      <c r="H211">
        <f>AVERAGE(F211:F212)</f>
        <v>0.66900454628821371</v>
      </c>
      <c r="L211">
        <v>0.56752019267418008</v>
      </c>
    </row>
    <row r="212" spans="1:12" x14ac:dyDescent="0.2">
      <c r="B212">
        <v>2</v>
      </c>
      <c r="C212">
        <f>115.106+92.77</f>
        <v>207.87599999999998</v>
      </c>
      <c r="D212">
        <v>132</v>
      </c>
      <c r="F212">
        <f t="shared" si="12"/>
        <v>0.6349939386942216</v>
      </c>
      <c r="L212">
        <v>0.62647635130394819</v>
      </c>
    </row>
    <row r="213" spans="1:12" x14ac:dyDescent="0.2">
      <c r="A213" t="s">
        <v>63</v>
      </c>
      <c r="B213">
        <v>1</v>
      </c>
      <c r="C213">
        <f>185.751+96.37</f>
        <v>282.12099999999998</v>
      </c>
      <c r="D213">
        <v>193</v>
      </c>
      <c r="F213">
        <f t="shared" si="12"/>
        <v>0.68410362929381374</v>
      </c>
      <c r="H213">
        <f>AVERAGE(F213:F214)</f>
        <v>0.65727780302366501</v>
      </c>
      <c r="L213">
        <v>0.55594308810982795</v>
      </c>
    </row>
    <row r="214" spans="1:12" x14ac:dyDescent="0.2">
      <c r="B214">
        <v>2</v>
      </c>
      <c r="C214">
        <f>106.762+67.716</f>
        <v>174.47800000000001</v>
      </c>
      <c r="D214">
        <v>110</v>
      </c>
      <c r="F214">
        <f t="shared" si="12"/>
        <v>0.63045197675351616</v>
      </c>
      <c r="L214">
        <v>0.65288537998944984</v>
      </c>
    </row>
    <row r="215" spans="1:12" x14ac:dyDescent="0.2">
      <c r="A215" t="s">
        <v>64</v>
      </c>
      <c r="B215">
        <v>1</v>
      </c>
      <c r="C215">
        <f>87.036+80.182</f>
        <v>167.21800000000002</v>
      </c>
      <c r="D215">
        <v>90</v>
      </c>
      <c r="F215">
        <f t="shared" si="12"/>
        <v>0.53821956966355289</v>
      </c>
      <c r="H215">
        <f>AVERAGE(F215:F216)</f>
        <v>0.56752019267418008</v>
      </c>
    </row>
    <row r="216" spans="1:12" x14ac:dyDescent="0.2">
      <c r="B216">
        <v>2</v>
      </c>
      <c r="C216">
        <f>125.108+99.415</f>
        <v>224.52300000000002</v>
      </c>
      <c r="D216">
        <v>134</v>
      </c>
      <c r="F216">
        <f t="shared" si="12"/>
        <v>0.59682081568480727</v>
      </c>
    </row>
    <row r="217" spans="1:12" x14ac:dyDescent="0.2">
      <c r="A217" t="s">
        <v>66</v>
      </c>
      <c r="B217">
        <v>1</v>
      </c>
      <c r="C217">
        <f>116.425+87.51</f>
        <v>203.935</v>
      </c>
      <c r="D217">
        <v>114</v>
      </c>
      <c r="F217">
        <f t="shared" si="12"/>
        <v>0.55900164268026575</v>
      </c>
      <c r="H217">
        <f>AVERAGE(F217:F218)</f>
        <v>0.62647635130394819</v>
      </c>
    </row>
    <row r="218" spans="1:12" x14ac:dyDescent="0.2">
      <c r="B218">
        <v>2</v>
      </c>
      <c r="C218">
        <f>87.683+93.886</f>
        <v>181.56900000000002</v>
      </c>
      <c r="D218">
        <v>126</v>
      </c>
      <c r="F218">
        <f t="shared" si="12"/>
        <v>0.69395105992763073</v>
      </c>
    </row>
    <row r="219" spans="1:12" x14ac:dyDescent="0.2">
      <c r="A219" t="s">
        <v>78</v>
      </c>
      <c r="B219">
        <v>1</v>
      </c>
      <c r="C219">
        <f>109.789+37.304</f>
        <v>147.09300000000002</v>
      </c>
      <c r="D219">
        <v>79</v>
      </c>
      <c r="F219">
        <f t="shared" si="12"/>
        <v>0.53707518372730167</v>
      </c>
      <c r="H219">
        <f>AVERAGE(F219:F220)</f>
        <v>0.55594308810982795</v>
      </c>
    </row>
    <row r="220" spans="1:12" x14ac:dyDescent="0.2">
      <c r="B220">
        <v>2</v>
      </c>
      <c r="C220">
        <f>158.92+68.981</f>
        <v>227.90099999999998</v>
      </c>
      <c r="D220">
        <v>131</v>
      </c>
      <c r="F220">
        <f t="shared" si="12"/>
        <v>0.57481099249235423</v>
      </c>
    </row>
    <row r="221" spans="1:12" x14ac:dyDescent="0.2">
      <c r="A221" t="s">
        <v>79</v>
      </c>
      <c r="B221">
        <v>1</v>
      </c>
      <c r="C221">
        <f>98.955+83.127</f>
        <v>182.08199999999999</v>
      </c>
      <c r="D221">
        <v>122</v>
      </c>
      <c r="F221">
        <f t="shared" si="12"/>
        <v>0.67002778967717846</v>
      </c>
      <c r="H221">
        <f>AVERAGE(F221:F222)</f>
        <v>0.65288537998944984</v>
      </c>
    </row>
    <row r="222" spans="1:12" x14ac:dyDescent="0.2">
      <c r="B222">
        <v>2</v>
      </c>
      <c r="C222">
        <f>117.626+135.621</f>
        <v>253.24700000000001</v>
      </c>
      <c r="D222">
        <v>161</v>
      </c>
      <c r="F222">
        <f t="shared" si="12"/>
        <v>0.63574297030172122</v>
      </c>
    </row>
    <row r="226" spans="1:21" x14ac:dyDescent="0.2">
      <c r="A226" t="s">
        <v>80</v>
      </c>
      <c r="L226">
        <v>0.71384181091700749</v>
      </c>
      <c r="M226">
        <f>AVERAGE(L226:L232)</f>
        <v>0.71118127356145511</v>
      </c>
    </row>
    <row r="227" spans="1:21" x14ac:dyDescent="0.2">
      <c r="L227">
        <v>0.88952691962342145</v>
      </c>
      <c r="P227" t="s">
        <v>92</v>
      </c>
      <c r="Q227" t="s">
        <v>94</v>
      </c>
      <c r="R227" t="s">
        <v>99</v>
      </c>
      <c r="S227" t="s">
        <v>98</v>
      </c>
      <c r="T227" t="s">
        <v>97</v>
      </c>
      <c r="U227" t="s">
        <v>100</v>
      </c>
    </row>
    <row r="228" spans="1:21" x14ac:dyDescent="0.2">
      <c r="B228" t="s">
        <v>8</v>
      </c>
      <c r="C228" t="s">
        <v>9</v>
      </c>
      <c r="D228" t="s">
        <v>10</v>
      </c>
      <c r="F228" t="s">
        <v>11</v>
      </c>
      <c r="H228" t="s">
        <v>12</v>
      </c>
      <c r="L228">
        <v>0.63141907803546926</v>
      </c>
      <c r="P228">
        <v>0.71384181091700749</v>
      </c>
      <c r="Q228">
        <v>0.81598603913189649</v>
      </c>
      <c r="R228">
        <v>0.49754069487222774</v>
      </c>
      <c r="S228">
        <v>0.56954430070506012</v>
      </c>
      <c r="T228">
        <v>0.54060860007958755</v>
      </c>
      <c r="U228">
        <v>0.18527529978749918</v>
      </c>
    </row>
    <row r="229" spans="1:21" x14ac:dyDescent="0.2">
      <c r="A229" t="s">
        <v>13</v>
      </c>
      <c r="B229">
        <v>1</v>
      </c>
      <c r="C229">
        <f>121.757+85.376</f>
        <v>207.13300000000001</v>
      </c>
      <c r="D229">
        <v>138</v>
      </c>
      <c r="F229">
        <v>0.66623860031960136</v>
      </c>
      <c r="H229">
        <f>AVERAGE(F229:F230)</f>
        <v>0.71384181091700749</v>
      </c>
      <c r="L229">
        <v>0.56106854612922263</v>
      </c>
      <c r="P229">
        <v>0.88952691962342145</v>
      </c>
      <c r="Q229">
        <v>0.74605086076445493</v>
      </c>
      <c r="R229">
        <v>0.42111498252520696</v>
      </c>
      <c r="S229">
        <v>0.61194838313976363</v>
      </c>
      <c r="T229">
        <v>0.4712304910386364</v>
      </c>
      <c r="U229">
        <v>0.37392402506136296</v>
      </c>
    </row>
    <row r="230" spans="1:21" x14ac:dyDescent="0.2">
      <c r="B230">
        <v>2</v>
      </c>
      <c r="C230">
        <f>109.548+29.661</f>
        <v>139.209</v>
      </c>
      <c r="D230">
        <v>106</v>
      </c>
      <c r="F230">
        <v>0.76144502151441351</v>
      </c>
      <c r="L230">
        <v>0.70159159913462332</v>
      </c>
      <c r="P230">
        <v>0.63141907803546926</v>
      </c>
      <c r="Q230">
        <v>0.73625794024591928</v>
      </c>
      <c r="R230">
        <v>0.58820857071213739</v>
      </c>
      <c r="S230">
        <v>0.52711681025965174</v>
      </c>
      <c r="T230">
        <v>0.47838790554418364</v>
      </c>
      <c r="U230">
        <v>0.2903384628367815</v>
      </c>
    </row>
    <row r="231" spans="1:21" x14ac:dyDescent="0.2">
      <c r="A231" t="s">
        <v>14</v>
      </c>
      <c r="B231">
        <v>1</v>
      </c>
      <c r="C231">
        <f>143.358+68.343</f>
        <v>211.70100000000002</v>
      </c>
      <c r="D231">
        <v>181</v>
      </c>
      <c r="F231">
        <v>0.85497942853363929</v>
      </c>
      <c r="H231">
        <f>AVERAGE(F231:F232)</f>
        <v>0.88952691962342145</v>
      </c>
      <c r="L231">
        <v>0.59454851527790664</v>
      </c>
      <c r="P231">
        <v>0.56106854612922263</v>
      </c>
      <c r="Q231">
        <v>0.85651525138923112</v>
      </c>
      <c r="R231">
        <v>0.51206613153905634</v>
      </c>
      <c r="S231">
        <v>0.53737324223884531</v>
      </c>
      <c r="T231">
        <v>0.60090979600311312</v>
      </c>
      <c r="U231">
        <v>0.32314836434090344</v>
      </c>
    </row>
    <row r="232" spans="1:21" x14ac:dyDescent="0.2">
      <c r="B232">
        <v>2</v>
      </c>
      <c r="C232">
        <f>121.425+76.611</f>
        <v>198.036</v>
      </c>
      <c r="D232">
        <v>183</v>
      </c>
      <c r="F232">
        <v>0.92407441071320362</v>
      </c>
      <c r="L232">
        <v>0.88627244581253439</v>
      </c>
      <c r="P232">
        <v>0.70159159913462332</v>
      </c>
      <c r="Q232">
        <v>0.63308023523603052</v>
      </c>
      <c r="R232">
        <v>0.32041201956914656</v>
      </c>
      <c r="S232">
        <v>0.37469216322616716</v>
      </c>
      <c r="T232">
        <v>0.45050872949862714</v>
      </c>
      <c r="U232">
        <v>0.52737223053028082</v>
      </c>
    </row>
    <row r="233" spans="1:21" x14ac:dyDescent="0.2">
      <c r="A233" t="s">
        <v>16</v>
      </c>
      <c r="B233">
        <v>1</v>
      </c>
      <c r="C233">
        <f>95.75+71.725</f>
        <v>167.47499999999999</v>
      </c>
      <c r="D233">
        <v>96</v>
      </c>
      <c r="F233">
        <v>0.57321988356471121</v>
      </c>
      <c r="H233">
        <f>AVERAGE(F233:F234)</f>
        <v>0.63141907803546926</v>
      </c>
      <c r="I233" t="s">
        <v>81</v>
      </c>
      <c r="P233">
        <v>0.59454851527790664</v>
      </c>
      <c r="Q233">
        <v>0.67259321337444211</v>
      </c>
      <c r="R233">
        <v>0.46505120136305556</v>
      </c>
      <c r="S233">
        <v>0.39444089498545992</v>
      </c>
      <c r="T233">
        <v>0.50533033756881596</v>
      </c>
      <c r="U233">
        <v>0.51914475247184433</v>
      </c>
    </row>
    <row r="234" spans="1:21" x14ac:dyDescent="0.2">
      <c r="B234">
        <v>2</v>
      </c>
      <c r="C234">
        <f>94.366+73.843</f>
        <v>168.209</v>
      </c>
      <c r="D234">
        <v>116</v>
      </c>
      <c r="F234">
        <v>0.68961827250622731</v>
      </c>
      <c r="P234">
        <v>0.88627244581253439</v>
      </c>
      <c r="Q234">
        <v>0.6414155870738325</v>
      </c>
      <c r="R234">
        <v>0.30004944415358892</v>
      </c>
      <c r="S234">
        <v>0.6431483997601275</v>
      </c>
      <c r="T234">
        <v>0.38104350722975938</v>
      </c>
      <c r="U234">
        <v>0.22446375247501732</v>
      </c>
    </row>
    <row r="235" spans="1:21" x14ac:dyDescent="0.2">
      <c r="A235" t="s">
        <v>17</v>
      </c>
      <c r="B235">
        <v>1</v>
      </c>
      <c r="C235">
        <f>119.85+148.051</f>
        <v>267.90099999999995</v>
      </c>
      <c r="D235">
        <v>172</v>
      </c>
      <c r="F235">
        <v>0.64202821191410275</v>
      </c>
      <c r="H235">
        <f>AVERAGE(F235:F236)</f>
        <v>0.56106854612922263</v>
      </c>
      <c r="I235" t="s">
        <v>82</v>
      </c>
    </row>
    <row r="236" spans="1:21" x14ac:dyDescent="0.2">
      <c r="B236">
        <v>2</v>
      </c>
      <c r="C236">
        <f>94.24+145.289</f>
        <v>239.529</v>
      </c>
      <c r="D236">
        <v>115</v>
      </c>
      <c r="F236">
        <v>0.48010888034434246</v>
      </c>
    </row>
    <row r="237" spans="1:21" x14ac:dyDescent="0.2">
      <c r="A237" t="s">
        <v>19</v>
      </c>
      <c r="B237">
        <v>1</v>
      </c>
      <c r="C237">
        <f>109.282+48.468</f>
        <v>157.75</v>
      </c>
      <c r="D237">
        <v>87</v>
      </c>
      <c r="F237">
        <v>0.55150554675118857</v>
      </c>
      <c r="H237">
        <f>AVERAGE(F237:F238)</f>
        <v>0.70159159913462332</v>
      </c>
    </row>
    <row r="238" spans="1:21" x14ac:dyDescent="0.2">
      <c r="B238">
        <v>2</v>
      </c>
      <c r="C238">
        <f>124.135+136.527</f>
        <v>260.66199999999998</v>
      </c>
      <c r="D238">
        <v>222</v>
      </c>
      <c r="F238">
        <v>0.85167765151805797</v>
      </c>
    </row>
    <row r="239" spans="1:21" x14ac:dyDescent="0.2">
      <c r="A239" t="s">
        <v>20</v>
      </c>
      <c r="B239">
        <v>1</v>
      </c>
      <c r="C239">
        <f>133.811+106.147</f>
        <v>239.95800000000003</v>
      </c>
      <c r="D239">
        <v>127</v>
      </c>
      <c r="F239">
        <v>0.52925928704189895</v>
      </c>
      <c r="H239">
        <f>AVERAGE(F239:F240)</f>
        <v>0.59454851527790664</v>
      </c>
    </row>
    <row r="240" spans="1:21" x14ac:dyDescent="0.2">
      <c r="B240">
        <v>2</v>
      </c>
      <c r="C240">
        <f>136.515+115.062</f>
        <v>251.577</v>
      </c>
      <c r="D240">
        <v>166</v>
      </c>
      <c r="F240">
        <v>0.65983774351391422</v>
      </c>
    </row>
    <row r="241" spans="1:13" x14ac:dyDescent="0.2">
      <c r="A241" t="s">
        <v>83</v>
      </c>
      <c r="B241">
        <v>1</v>
      </c>
      <c r="C241">
        <f>159.881+108.503</f>
        <v>268.38400000000001</v>
      </c>
      <c r="D241">
        <v>261</v>
      </c>
      <c r="F241">
        <v>0.97248718254441391</v>
      </c>
      <c r="H241">
        <f>AVERAGE(F241:F242)</f>
        <v>0.88627244581253439</v>
      </c>
    </row>
    <row r="242" spans="1:13" x14ac:dyDescent="0.2">
      <c r="B242">
        <v>2</v>
      </c>
      <c r="C242">
        <f>112.365+40.124</f>
        <v>152.489</v>
      </c>
      <c r="D242">
        <v>122</v>
      </c>
      <c r="F242">
        <v>0.80005770908065499</v>
      </c>
    </row>
    <row r="244" spans="1:13" x14ac:dyDescent="0.2">
      <c r="A244" t="s">
        <v>30</v>
      </c>
      <c r="B244">
        <v>1</v>
      </c>
      <c r="C244">
        <f>122.186+123.015</f>
        <v>245.20100000000002</v>
      </c>
      <c r="D244">
        <v>206</v>
      </c>
      <c r="F244">
        <f t="shared" ref="F244:F257" si="13">D244/C244</f>
        <v>0.84012707941647868</v>
      </c>
      <c r="H244">
        <f>AVERAGE(F244:F245)</f>
        <v>0.81598603913189649</v>
      </c>
    </row>
    <row r="245" spans="1:13" x14ac:dyDescent="0.2">
      <c r="B245">
        <v>2</v>
      </c>
      <c r="C245">
        <f>123.288+76.246</f>
        <v>199.53399999999999</v>
      </c>
      <c r="D245">
        <v>158</v>
      </c>
      <c r="F245">
        <f t="shared" si="13"/>
        <v>0.7918449988473143</v>
      </c>
      <c r="L245">
        <v>0.81598603913189649</v>
      </c>
      <c r="M245" s="1">
        <f>AVERAGE(L245:L251)</f>
        <v>0.7288427324594009</v>
      </c>
    </row>
    <row r="246" spans="1:13" x14ac:dyDescent="0.2">
      <c r="A246" t="s">
        <v>32</v>
      </c>
      <c r="B246">
        <v>1</v>
      </c>
      <c r="C246">
        <f>104.596+78.85</f>
        <v>183.446</v>
      </c>
      <c r="D246">
        <v>142</v>
      </c>
      <c r="F246">
        <f t="shared" si="13"/>
        <v>0.77406975349694185</v>
      </c>
      <c r="H246">
        <f>AVERAGE(F246:F247)</f>
        <v>0.74605086076445493</v>
      </c>
      <c r="L246">
        <v>0.74605086076445493</v>
      </c>
    </row>
    <row r="247" spans="1:13" x14ac:dyDescent="0.2">
      <c r="B247">
        <v>2</v>
      </c>
      <c r="C247">
        <f>129.197+62.995</f>
        <v>192.19200000000001</v>
      </c>
      <c r="D247">
        <v>138</v>
      </c>
      <c r="F247">
        <f t="shared" si="13"/>
        <v>0.718031968031968</v>
      </c>
      <c r="L247">
        <v>0.73625794024591928</v>
      </c>
    </row>
    <row r="248" spans="1:13" x14ac:dyDescent="0.2">
      <c r="A248" t="s">
        <v>35</v>
      </c>
      <c r="B248">
        <v>1</v>
      </c>
      <c r="C248">
        <f>101.931+96.843</f>
        <v>198.774</v>
      </c>
      <c r="D248">
        <v>155</v>
      </c>
      <c r="F248">
        <f t="shared" si="13"/>
        <v>0.77978005171702536</v>
      </c>
      <c r="H248">
        <f>AVERAGE(F248:F249)</f>
        <v>0.73625794024591928</v>
      </c>
      <c r="L248">
        <v>0.85651525138923112</v>
      </c>
    </row>
    <row r="249" spans="1:13" x14ac:dyDescent="0.2">
      <c r="B249">
        <v>2</v>
      </c>
      <c r="C249">
        <f>99.798+109.517</f>
        <v>209.315</v>
      </c>
      <c r="D249">
        <v>145</v>
      </c>
      <c r="F249">
        <f t="shared" si="13"/>
        <v>0.6927358287748131</v>
      </c>
      <c r="L249">
        <v>0.63308023523603052</v>
      </c>
    </row>
    <row r="250" spans="1:13" x14ac:dyDescent="0.2">
      <c r="A250" t="s">
        <v>36</v>
      </c>
      <c r="B250">
        <v>1</v>
      </c>
      <c r="C250">
        <f>141.825+82.512</f>
        <v>224.33699999999999</v>
      </c>
      <c r="D250">
        <v>184</v>
      </c>
      <c r="F250">
        <f t="shared" si="13"/>
        <v>0.82019461791857784</v>
      </c>
      <c r="H250">
        <f>AVERAGE(F250:F251)</f>
        <v>0.85651525138923112</v>
      </c>
      <c r="L250">
        <v>0.67259321337444211</v>
      </c>
    </row>
    <row r="251" spans="1:13" x14ac:dyDescent="0.2">
      <c r="B251">
        <v>2</v>
      </c>
      <c r="C251">
        <f>92.291+75.713</f>
        <v>168.00399999999999</v>
      </c>
      <c r="D251">
        <v>150</v>
      </c>
      <c r="F251">
        <f t="shared" si="13"/>
        <v>0.8928358848598843</v>
      </c>
      <c r="L251">
        <v>0.6414155870738325</v>
      </c>
    </row>
    <row r="252" spans="1:13" x14ac:dyDescent="0.2">
      <c r="A252" t="s">
        <v>38</v>
      </c>
      <c r="B252">
        <v>1</v>
      </c>
      <c r="C252">
        <f>134.604+92.836</f>
        <v>227.44</v>
      </c>
      <c r="D252">
        <v>149</v>
      </c>
      <c r="F252">
        <f t="shared" si="13"/>
        <v>0.65511783327470985</v>
      </c>
      <c r="H252">
        <f>AVERAGE(F252:F253)</f>
        <v>0.63308023523603052</v>
      </c>
    </row>
    <row r="253" spans="1:13" x14ac:dyDescent="0.2">
      <c r="B253">
        <v>2</v>
      </c>
      <c r="C253">
        <f>101.069+90.407</f>
        <v>191.476</v>
      </c>
      <c r="D253">
        <v>117</v>
      </c>
      <c r="F253">
        <f t="shared" si="13"/>
        <v>0.61104263719735108</v>
      </c>
    </row>
    <row r="254" spans="1:13" x14ac:dyDescent="0.2">
      <c r="A254" t="s">
        <v>40</v>
      </c>
      <c r="B254">
        <v>1</v>
      </c>
      <c r="C254">
        <f>113.52+62.856</f>
        <v>176.376</v>
      </c>
      <c r="D254">
        <v>109</v>
      </c>
      <c r="F254">
        <f t="shared" si="13"/>
        <v>0.61799791354832856</v>
      </c>
      <c r="H254">
        <f>AVERAGE(F254:F255)</f>
        <v>0.67259321337444211</v>
      </c>
    </row>
    <row r="255" spans="1:13" x14ac:dyDescent="0.2">
      <c r="B255">
        <v>2</v>
      </c>
      <c r="C255">
        <f>125.212+90.688</f>
        <v>215.9</v>
      </c>
      <c r="D255">
        <v>157</v>
      </c>
      <c r="F255">
        <f t="shared" si="13"/>
        <v>0.72718851320055578</v>
      </c>
    </row>
    <row r="256" spans="1:13" x14ac:dyDescent="0.2">
      <c r="A256" t="s">
        <v>39</v>
      </c>
      <c r="B256">
        <v>1</v>
      </c>
      <c r="C256">
        <f>122.169+86.671</f>
        <v>208.84</v>
      </c>
      <c r="D256">
        <v>131</v>
      </c>
      <c r="F256">
        <f t="shared" si="13"/>
        <v>0.62727446849262591</v>
      </c>
      <c r="H256">
        <f>AVERAGE(F256:F257)</f>
        <v>0.6414155870738325</v>
      </c>
    </row>
    <row r="257" spans="1:13" x14ac:dyDescent="0.2">
      <c r="B257">
        <v>2</v>
      </c>
      <c r="C257">
        <f>103.911+69.987</f>
        <v>173.898</v>
      </c>
      <c r="D257">
        <v>114</v>
      </c>
      <c r="F257">
        <f t="shared" si="13"/>
        <v>0.65555670565503921</v>
      </c>
    </row>
    <row r="259" spans="1:13" x14ac:dyDescent="0.2">
      <c r="A259" t="s">
        <v>21</v>
      </c>
      <c r="B259">
        <v>1</v>
      </c>
      <c r="C259">
        <f>100.53+69.558</f>
        <v>170.08800000000002</v>
      </c>
      <c r="D259">
        <v>79</v>
      </c>
      <c r="F259">
        <f>D259/C259</f>
        <v>0.4644654531771788</v>
      </c>
      <c r="H259">
        <f>AVERAGE(F259:F260)</f>
        <v>0.49754069487222774</v>
      </c>
    </row>
    <row r="260" spans="1:13" x14ac:dyDescent="0.2">
      <c r="B260">
        <v>2</v>
      </c>
      <c r="C260">
        <f>100.387+65.458</f>
        <v>165.845</v>
      </c>
      <c r="D260">
        <v>88</v>
      </c>
      <c r="F260">
        <f t="shared" ref="F260:F272" si="14">D260/C260</f>
        <v>0.53061593656727668</v>
      </c>
    </row>
    <row r="261" spans="1:13" x14ac:dyDescent="0.2">
      <c r="A261" t="s">
        <v>22</v>
      </c>
      <c r="B261">
        <v>1</v>
      </c>
      <c r="C261">
        <f>94.531+70.487</f>
        <v>165.018</v>
      </c>
      <c r="D261">
        <v>66</v>
      </c>
      <c r="F261">
        <f t="shared" si="14"/>
        <v>0.39995636839617499</v>
      </c>
      <c r="H261">
        <f>AVERAGE(F261:F262)</f>
        <v>0.42111498252520696</v>
      </c>
      <c r="L261">
        <v>0.49754069487222774</v>
      </c>
      <c r="M261" s="1">
        <f>AVERAGE(L261:L267)</f>
        <v>0.44349186353348852</v>
      </c>
    </row>
    <row r="262" spans="1:13" x14ac:dyDescent="0.2">
      <c r="B262">
        <v>2</v>
      </c>
      <c r="C262">
        <f>146.922+110.837</f>
        <v>257.75900000000001</v>
      </c>
      <c r="D262">
        <v>114</v>
      </c>
      <c r="F262">
        <f t="shared" si="14"/>
        <v>0.44227359665423899</v>
      </c>
      <c r="L262">
        <v>0.42111498252520696</v>
      </c>
    </row>
    <row r="263" spans="1:13" x14ac:dyDescent="0.2">
      <c r="A263" t="s">
        <v>23</v>
      </c>
      <c r="B263">
        <v>1</v>
      </c>
      <c r="C263">
        <f>104.391+89.848</f>
        <v>194.239</v>
      </c>
      <c r="D263">
        <v>100</v>
      </c>
      <c r="F263">
        <f t="shared" si="14"/>
        <v>0.51482966860414225</v>
      </c>
      <c r="H263">
        <f>AVERAGE(F263:F264)</f>
        <v>0.58820857071213739</v>
      </c>
      <c r="L263">
        <v>0.58820857071213739</v>
      </c>
    </row>
    <row r="264" spans="1:13" x14ac:dyDescent="0.2">
      <c r="B264">
        <v>2</v>
      </c>
      <c r="C264">
        <f>162.851+74.457</f>
        <v>237.30799999999999</v>
      </c>
      <c r="D264">
        <v>157</v>
      </c>
      <c r="F264">
        <f t="shared" si="14"/>
        <v>0.66158747282013253</v>
      </c>
      <c r="L264">
        <v>0.51206613153905634</v>
      </c>
    </row>
    <row r="265" spans="1:13" x14ac:dyDescent="0.2">
      <c r="A265" t="s">
        <v>24</v>
      </c>
      <c r="B265">
        <v>1</v>
      </c>
      <c r="C265">
        <f>107.703+120.893</f>
        <v>228.596</v>
      </c>
      <c r="D265">
        <v>114</v>
      </c>
      <c r="F265">
        <f t="shared" si="14"/>
        <v>0.49869639013806016</v>
      </c>
      <c r="H265">
        <f>AVERAGE(F265:F266)</f>
        <v>0.51206613153905634</v>
      </c>
      <c r="L265">
        <v>0.32041201956914656</v>
      </c>
    </row>
    <row r="266" spans="1:13" x14ac:dyDescent="0.2">
      <c r="B266">
        <v>2</v>
      </c>
      <c r="C266">
        <f>69.386+98.094</f>
        <v>167.48</v>
      </c>
      <c r="D266">
        <v>88</v>
      </c>
      <c r="F266">
        <f t="shared" si="14"/>
        <v>0.52543587294005256</v>
      </c>
      <c r="L266">
        <v>0.46505120136305556</v>
      </c>
    </row>
    <row r="267" spans="1:13" x14ac:dyDescent="0.2">
      <c r="A267" t="s">
        <v>26</v>
      </c>
      <c r="B267">
        <v>1</v>
      </c>
      <c r="C267">
        <f>140.696+70.118</f>
        <v>210.81399999999999</v>
      </c>
      <c r="D267">
        <v>70</v>
      </c>
      <c r="F267">
        <f t="shared" si="14"/>
        <v>0.3320462587873671</v>
      </c>
      <c r="H267">
        <f>AVERAGE(F267:F268)</f>
        <v>0.32041201956914656</v>
      </c>
      <c r="L267">
        <v>0.30004944415358892</v>
      </c>
    </row>
    <row r="268" spans="1:13" x14ac:dyDescent="0.2">
      <c r="B268">
        <v>2</v>
      </c>
      <c r="C268">
        <f>155.683+103.403</f>
        <v>259.08600000000001</v>
      </c>
      <c r="D268">
        <v>80</v>
      </c>
      <c r="F268">
        <f t="shared" si="14"/>
        <v>0.30877778035092596</v>
      </c>
    </row>
    <row r="269" spans="1:13" x14ac:dyDescent="0.2">
      <c r="A269" t="s">
        <v>27</v>
      </c>
      <c r="B269">
        <v>1</v>
      </c>
      <c r="C269">
        <f>128.302+79.87</f>
        <v>208.172</v>
      </c>
      <c r="D269">
        <v>103</v>
      </c>
      <c r="F269">
        <f t="shared" si="14"/>
        <v>0.49478316007916529</v>
      </c>
      <c r="H269">
        <f>AVERAGE(F269:F270)</f>
        <v>0.46505120136305556</v>
      </c>
    </row>
    <row r="270" spans="1:13" x14ac:dyDescent="0.2">
      <c r="B270">
        <v>2</v>
      </c>
      <c r="C270">
        <f>139.249+56.01</f>
        <v>195.25899999999999</v>
      </c>
      <c r="D270">
        <v>85</v>
      </c>
      <c r="F270">
        <f t="shared" si="14"/>
        <v>0.43531924264694588</v>
      </c>
    </row>
    <row r="271" spans="1:13" x14ac:dyDescent="0.2">
      <c r="A271" t="s">
        <v>84</v>
      </c>
      <c r="B271">
        <v>1</v>
      </c>
      <c r="C271">
        <f>98.632+64.508</f>
        <v>163.13999999999999</v>
      </c>
      <c r="D271">
        <v>52</v>
      </c>
      <c r="F271">
        <f t="shared" si="14"/>
        <v>0.31874463650852031</v>
      </c>
      <c r="H271">
        <f>AVERAGE(F271:F272)</f>
        <v>0.30004944415358892</v>
      </c>
    </row>
    <row r="272" spans="1:13" x14ac:dyDescent="0.2">
      <c r="B272">
        <v>2</v>
      </c>
      <c r="C272">
        <f>81.963+67.315</f>
        <v>149.27799999999999</v>
      </c>
      <c r="D272">
        <v>42</v>
      </c>
      <c r="F272">
        <f t="shared" si="14"/>
        <v>0.28135425179865753</v>
      </c>
    </row>
    <row r="275" spans="1:13" x14ac:dyDescent="0.2">
      <c r="A275" t="s">
        <v>49</v>
      </c>
      <c r="B275">
        <v>1</v>
      </c>
      <c r="C275">
        <f>114.289+93.102</f>
        <v>207.39100000000002</v>
      </c>
      <c r="D275">
        <v>34</v>
      </c>
      <c r="F275">
        <f>D275/C275</f>
        <v>0.1639415403754261</v>
      </c>
      <c r="H275">
        <f>AVERAGE(F275:F276)</f>
        <v>0.18527529978749918</v>
      </c>
    </row>
    <row r="276" spans="1:13" x14ac:dyDescent="0.2">
      <c r="B276">
        <v>2</v>
      </c>
      <c r="C276">
        <f>112.326+52.236</f>
        <v>164.56199999999998</v>
      </c>
      <c r="D276">
        <v>34</v>
      </c>
      <c r="F276">
        <f t="shared" ref="F276:F288" si="15">D276/C276</f>
        <v>0.20660905919957223</v>
      </c>
    </row>
    <row r="277" spans="1:13" x14ac:dyDescent="0.2">
      <c r="A277" t="s">
        <v>76</v>
      </c>
      <c r="B277">
        <v>1</v>
      </c>
      <c r="C277">
        <f>120.426+58.723</f>
        <v>179.149</v>
      </c>
      <c r="D277">
        <v>74</v>
      </c>
      <c r="F277">
        <f t="shared" si="15"/>
        <v>0.41306398584418558</v>
      </c>
      <c r="H277">
        <f>AVERAGE(F277:F278)</f>
        <v>0.37392402506136296</v>
      </c>
    </row>
    <row r="278" spans="1:13" x14ac:dyDescent="0.2">
      <c r="B278">
        <v>2</v>
      </c>
      <c r="C278">
        <f>106.053+61.219</f>
        <v>167.27199999999999</v>
      </c>
      <c r="D278">
        <v>56</v>
      </c>
      <c r="F278">
        <f t="shared" si="15"/>
        <v>0.33478406427854035</v>
      </c>
      <c r="L278">
        <v>0.18527529978749918</v>
      </c>
      <c r="M278" s="1">
        <f>AVERAGE(L278:L284)</f>
        <v>0.34909526964338422</v>
      </c>
    </row>
    <row r="279" spans="1:13" x14ac:dyDescent="0.2">
      <c r="A279" t="s">
        <v>54</v>
      </c>
      <c r="B279">
        <v>1</v>
      </c>
      <c r="C279">
        <f>89.283+59.742</f>
        <v>149.02500000000001</v>
      </c>
      <c r="D279">
        <v>29</v>
      </c>
      <c r="F279">
        <f t="shared" si="15"/>
        <v>0.19459822177486999</v>
      </c>
      <c r="H279">
        <f>AVERAGE(F279:F280)</f>
        <v>0.2903384628367815</v>
      </c>
      <c r="L279">
        <v>0.37392402506136296</v>
      </c>
    </row>
    <row r="280" spans="1:13" x14ac:dyDescent="0.2">
      <c r="B280">
        <v>2</v>
      </c>
      <c r="C280">
        <f>96.253+46.205</f>
        <v>142.458</v>
      </c>
      <c r="D280">
        <v>55</v>
      </c>
      <c r="F280">
        <f t="shared" si="15"/>
        <v>0.38607870389869298</v>
      </c>
      <c r="L280">
        <v>0.2903384628367815</v>
      </c>
    </row>
    <row r="281" spans="1:13" x14ac:dyDescent="0.2">
      <c r="A281" t="s">
        <v>85</v>
      </c>
      <c r="B281">
        <v>1</v>
      </c>
      <c r="C281">
        <f>89.572+46.37</f>
        <v>135.94200000000001</v>
      </c>
      <c r="D281">
        <v>47</v>
      </c>
      <c r="F281">
        <f t="shared" si="15"/>
        <v>0.34573568139353544</v>
      </c>
      <c r="H281">
        <f>AVERAGE(F281:F282)</f>
        <v>0.32314836434090344</v>
      </c>
      <c r="L281">
        <v>0.32314836434090344</v>
      </c>
    </row>
    <row r="282" spans="1:13" x14ac:dyDescent="0.2">
      <c r="B282">
        <v>2</v>
      </c>
      <c r="C282">
        <f>100.093+79.571</f>
        <v>179.66399999999999</v>
      </c>
      <c r="D282">
        <v>54</v>
      </c>
      <c r="F282">
        <f t="shared" si="15"/>
        <v>0.30056104728827149</v>
      </c>
      <c r="L282">
        <v>0.52737223053028082</v>
      </c>
    </row>
    <row r="283" spans="1:13" x14ac:dyDescent="0.2">
      <c r="A283" t="s">
        <v>86</v>
      </c>
      <c r="B283">
        <v>1</v>
      </c>
      <c r="C283">
        <f>58.355+70.064</f>
        <v>128.41899999999998</v>
      </c>
      <c r="D283">
        <v>72</v>
      </c>
      <c r="F283">
        <f t="shared" si="15"/>
        <v>0.56066469914887995</v>
      </c>
      <c r="H283">
        <f>AVERAGE(F283:F284)</f>
        <v>0.52737223053028082</v>
      </c>
      <c r="L283">
        <v>0.51914475247184433</v>
      </c>
    </row>
    <row r="284" spans="1:13" x14ac:dyDescent="0.2">
      <c r="B284">
        <v>2</v>
      </c>
      <c r="C284">
        <f>95.923+76.114</f>
        <v>172.03700000000001</v>
      </c>
      <c r="D284">
        <v>85</v>
      </c>
      <c r="F284">
        <f t="shared" si="15"/>
        <v>0.49407976191168179</v>
      </c>
      <c r="L284">
        <v>0.22446375247501732</v>
      </c>
    </row>
    <row r="285" spans="1:13" x14ac:dyDescent="0.2">
      <c r="A285" t="s">
        <v>87</v>
      </c>
      <c r="B285">
        <v>1</v>
      </c>
      <c r="C285">
        <f>113.809+62.891</f>
        <v>176.7</v>
      </c>
      <c r="D285">
        <v>86</v>
      </c>
      <c r="F285">
        <f t="shared" si="15"/>
        <v>0.48670062252405211</v>
      </c>
      <c r="H285">
        <f>AVERAGE(F285:F286)</f>
        <v>0.51914475247184433</v>
      </c>
    </row>
    <row r="286" spans="1:13" x14ac:dyDescent="0.2">
      <c r="B286">
        <v>2</v>
      </c>
      <c r="C286">
        <f>109.799+20.733</f>
        <v>130.53200000000001</v>
      </c>
      <c r="D286">
        <v>72</v>
      </c>
      <c r="F286">
        <f t="shared" si="15"/>
        <v>0.55158888241963655</v>
      </c>
    </row>
    <row r="287" spans="1:13" x14ac:dyDescent="0.2">
      <c r="A287" t="s">
        <v>88</v>
      </c>
      <c r="B287">
        <v>1</v>
      </c>
      <c r="C287">
        <f>124.826+158.963</f>
        <v>283.78899999999999</v>
      </c>
      <c r="D287">
        <v>70</v>
      </c>
      <c r="F287">
        <f t="shared" si="15"/>
        <v>0.24666213278174984</v>
      </c>
      <c r="H287">
        <f>AVERAGE(F287:F288)</f>
        <v>0.22446375247501732</v>
      </c>
    </row>
    <row r="288" spans="1:13" x14ac:dyDescent="0.2">
      <c r="B288">
        <v>2</v>
      </c>
      <c r="C288">
        <f>49.806+68.85</f>
        <v>118.65599999999999</v>
      </c>
      <c r="D288">
        <v>24</v>
      </c>
      <c r="F288">
        <f t="shared" si="15"/>
        <v>0.2022653721682848</v>
      </c>
    </row>
    <row r="290" spans="1:13" x14ac:dyDescent="0.2">
      <c r="A290" t="s">
        <v>42</v>
      </c>
      <c r="B290">
        <v>1</v>
      </c>
      <c r="C290">
        <f>89.509+140.236</f>
        <v>229.745</v>
      </c>
      <c r="D290">
        <v>152</v>
      </c>
      <c r="F290">
        <f>D290/C290</f>
        <v>0.66160308167751203</v>
      </c>
      <c r="H290">
        <f>AVERAGE(F290:F291)</f>
        <v>0.56954430070506012</v>
      </c>
    </row>
    <row r="291" spans="1:13" x14ac:dyDescent="0.2">
      <c r="B291">
        <v>2</v>
      </c>
      <c r="C291">
        <f>106.765+85.911</f>
        <v>192.67599999999999</v>
      </c>
      <c r="D291">
        <v>92</v>
      </c>
      <c r="F291">
        <f t="shared" ref="F291:F303" si="16">D291/C291</f>
        <v>0.47748551973260817</v>
      </c>
      <c r="L291">
        <v>0.56954430070506012</v>
      </c>
      <c r="M291" s="1">
        <f>AVERAGE(L291:L297)</f>
        <v>0.52260917061643941</v>
      </c>
    </row>
    <row r="292" spans="1:13" x14ac:dyDescent="0.2">
      <c r="A292" t="s">
        <v>73</v>
      </c>
      <c r="B292">
        <v>1</v>
      </c>
      <c r="C292">
        <f>135.474+64.475</f>
        <v>199.94899999999998</v>
      </c>
      <c r="D292">
        <v>139</v>
      </c>
      <c r="F292">
        <f t="shared" si="16"/>
        <v>0.69517727020390208</v>
      </c>
      <c r="H292">
        <f>AVERAGE(F292:F293)</f>
        <v>0.61194838313976363</v>
      </c>
      <c r="L292">
        <v>0.61194838313976363</v>
      </c>
    </row>
    <row r="293" spans="1:13" x14ac:dyDescent="0.2">
      <c r="B293">
        <v>2</v>
      </c>
      <c r="C293">
        <f>119.396+100.002</f>
        <v>219.398</v>
      </c>
      <c r="D293">
        <v>116</v>
      </c>
      <c r="F293">
        <f t="shared" si="16"/>
        <v>0.52871949607562518</v>
      </c>
      <c r="L293">
        <v>0.52711681025965174</v>
      </c>
    </row>
    <row r="294" spans="1:13" x14ac:dyDescent="0.2">
      <c r="A294" t="s">
        <v>44</v>
      </c>
      <c r="B294">
        <v>1</v>
      </c>
      <c r="C294">
        <f>138.666+119.205</f>
        <v>257.87099999999998</v>
      </c>
      <c r="D294">
        <v>127</v>
      </c>
      <c r="F294">
        <f t="shared" si="16"/>
        <v>0.49249430917008896</v>
      </c>
      <c r="H294">
        <f>AVERAGE(F294:F295)</f>
        <v>0.52711681025965174</v>
      </c>
      <c r="L294">
        <v>0.53737324223884531</v>
      </c>
    </row>
    <row r="295" spans="1:13" x14ac:dyDescent="0.2">
      <c r="B295">
        <v>2</v>
      </c>
      <c r="C295">
        <f>130.268+61.992</f>
        <v>192.26</v>
      </c>
      <c r="D295">
        <v>108</v>
      </c>
      <c r="F295">
        <f t="shared" si="16"/>
        <v>0.56173931134921462</v>
      </c>
      <c r="L295">
        <v>0.37469216322616716</v>
      </c>
    </row>
    <row r="296" spans="1:13" x14ac:dyDescent="0.2">
      <c r="A296" t="s">
        <v>75</v>
      </c>
      <c r="B296">
        <v>1</v>
      </c>
      <c r="C296">
        <f>101.281+61.084</f>
        <v>162.36500000000001</v>
      </c>
      <c r="D296">
        <v>106</v>
      </c>
      <c r="F296">
        <f t="shared" si="16"/>
        <v>0.65285006004988755</v>
      </c>
      <c r="H296">
        <f>AVERAGE(F296:F297)</f>
        <v>0.53737324223884531</v>
      </c>
      <c r="L296">
        <v>0.39444089498545992</v>
      </c>
    </row>
    <row r="297" spans="1:13" x14ac:dyDescent="0.2">
      <c r="B297">
        <v>2</v>
      </c>
      <c r="C297">
        <f>91.917+50.298</f>
        <v>142.215</v>
      </c>
      <c r="D297">
        <v>60</v>
      </c>
      <c r="F297">
        <f t="shared" si="16"/>
        <v>0.42189642442780295</v>
      </c>
      <c r="L297">
        <v>0.6431483997601275</v>
      </c>
    </row>
    <row r="298" spans="1:13" x14ac:dyDescent="0.2">
      <c r="A298" t="s">
        <v>45</v>
      </c>
      <c r="B298">
        <v>1</v>
      </c>
      <c r="C298">
        <f>123.824+91.14</f>
        <v>214.964</v>
      </c>
      <c r="D298">
        <v>62</v>
      </c>
      <c r="F298">
        <f t="shared" si="16"/>
        <v>0.28842038666939579</v>
      </c>
      <c r="H298">
        <f>AVERAGE(F298:F299)</f>
        <v>0.37469216322616716</v>
      </c>
    </row>
    <row r="299" spans="1:13" x14ac:dyDescent="0.2">
      <c r="B299">
        <v>2</v>
      </c>
      <c r="C299">
        <f>80.37+91.01</f>
        <v>171.38</v>
      </c>
      <c r="D299">
        <v>79</v>
      </c>
      <c r="F299">
        <f t="shared" si="16"/>
        <v>0.46096393978293854</v>
      </c>
    </row>
    <row r="300" spans="1:13" x14ac:dyDescent="0.2">
      <c r="A300" t="s">
        <v>47</v>
      </c>
      <c r="B300">
        <v>1</v>
      </c>
      <c r="C300">
        <f>156.051</f>
        <v>156.05099999999999</v>
      </c>
      <c r="D300">
        <v>62</v>
      </c>
      <c r="F300">
        <f t="shared" si="16"/>
        <v>0.39730600893297707</v>
      </c>
      <c r="H300">
        <f>AVERAGE(F300:F301)</f>
        <v>0.39444089498545992</v>
      </c>
    </row>
    <row r="301" spans="1:13" x14ac:dyDescent="0.2">
      <c r="B301">
        <v>2</v>
      </c>
      <c r="C301">
        <f>143.312+81.421</f>
        <v>224.733</v>
      </c>
      <c r="D301">
        <v>88</v>
      </c>
      <c r="F301">
        <f t="shared" si="16"/>
        <v>0.39157578103794277</v>
      </c>
    </row>
    <row r="302" spans="1:13" x14ac:dyDescent="0.2">
      <c r="A302" t="s">
        <v>48</v>
      </c>
      <c r="B302">
        <v>1</v>
      </c>
      <c r="C302">
        <f>125.255+92.199</f>
        <v>217.45400000000001</v>
      </c>
      <c r="D302">
        <v>140</v>
      </c>
      <c r="F302">
        <f t="shared" si="16"/>
        <v>0.64381432394897309</v>
      </c>
      <c r="H302">
        <f>AVERAGE(F302:F303)</f>
        <v>0.6431483997601275</v>
      </c>
    </row>
    <row r="303" spans="1:13" x14ac:dyDescent="0.2">
      <c r="B303">
        <v>2</v>
      </c>
      <c r="C303">
        <f>103.542+105.024</f>
        <v>208.566</v>
      </c>
      <c r="D303">
        <v>134</v>
      </c>
      <c r="F303">
        <f t="shared" si="16"/>
        <v>0.64248247557128202</v>
      </c>
    </row>
    <row r="305" spans="1:13" x14ac:dyDescent="0.2">
      <c r="A305" t="s">
        <v>61</v>
      </c>
      <c r="B305">
        <v>1</v>
      </c>
      <c r="C305">
        <f>136.507+83.831</f>
        <v>220.33800000000002</v>
      </c>
      <c r="D305">
        <v>117</v>
      </c>
      <c r="F305">
        <f>D305/C305</f>
        <v>0.53100236908749276</v>
      </c>
      <c r="H305">
        <f>AVERAGE(F305:F306)</f>
        <v>0.54060860007958755</v>
      </c>
      <c r="I305" t="s">
        <v>89</v>
      </c>
    </row>
    <row r="306" spans="1:13" x14ac:dyDescent="0.2">
      <c r="B306">
        <v>2</v>
      </c>
      <c r="C306">
        <f>72.116+89.639</f>
        <v>161.755</v>
      </c>
      <c r="D306">
        <v>89</v>
      </c>
      <c r="F306">
        <f t="shared" ref="F306:F318" si="17">D306/C306</f>
        <v>0.55021483107168245</v>
      </c>
    </row>
    <row r="307" spans="1:13" x14ac:dyDescent="0.2">
      <c r="A307" t="s">
        <v>62</v>
      </c>
      <c r="B307">
        <v>1</v>
      </c>
      <c r="C307">
        <f>156.26+110.394</f>
        <v>266.654</v>
      </c>
      <c r="D307">
        <v>123</v>
      </c>
      <c r="F307">
        <f t="shared" si="17"/>
        <v>0.46127191041574478</v>
      </c>
      <c r="H307">
        <f>AVERAGE(F307:F308)</f>
        <v>0.4712304910386364</v>
      </c>
    </row>
    <row r="308" spans="1:13" x14ac:dyDescent="0.2">
      <c r="B308">
        <v>2</v>
      </c>
      <c r="C308">
        <f>117.732+106.712</f>
        <v>224.44400000000002</v>
      </c>
      <c r="D308">
        <v>108</v>
      </c>
      <c r="F308">
        <f t="shared" si="17"/>
        <v>0.48118907166152802</v>
      </c>
      <c r="L308">
        <v>0.54060860007958755</v>
      </c>
      <c r="M308" s="1">
        <f>AVERAGE(L308:L314)</f>
        <v>0.48971705242324609</v>
      </c>
    </row>
    <row r="309" spans="1:13" x14ac:dyDescent="0.2">
      <c r="A309" t="s">
        <v>63</v>
      </c>
      <c r="B309">
        <v>1</v>
      </c>
      <c r="C309">
        <f>125.441+144.192</f>
        <v>269.63300000000004</v>
      </c>
      <c r="D309">
        <v>138</v>
      </c>
      <c r="F309">
        <f t="shared" si="17"/>
        <v>0.51180678922832135</v>
      </c>
      <c r="H309">
        <f>AVERAGE(F309:F310)</f>
        <v>0.47838790554418364</v>
      </c>
      <c r="L309">
        <v>0.4712304910386364</v>
      </c>
    </row>
    <row r="310" spans="1:13" x14ac:dyDescent="0.2">
      <c r="B310">
        <v>2</v>
      </c>
      <c r="C310">
        <f>152.968+112.219</f>
        <v>265.18700000000001</v>
      </c>
      <c r="D310">
        <v>118</v>
      </c>
      <c r="F310">
        <f t="shared" si="17"/>
        <v>0.44496902186004589</v>
      </c>
      <c r="L310">
        <v>0.47838790554418364</v>
      </c>
    </row>
    <row r="311" spans="1:13" x14ac:dyDescent="0.2">
      <c r="A311" t="s">
        <v>64</v>
      </c>
      <c r="B311">
        <v>1</v>
      </c>
      <c r="C311">
        <f>99.862+104.219</f>
        <v>204.08099999999999</v>
      </c>
      <c r="D311">
        <v>104</v>
      </c>
      <c r="F311">
        <f t="shared" si="17"/>
        <v>0.50960157976489728</v>
      </c>
      <c r="H311">
        <f>AVERAGE(F311:F312)</f>
        <v>0.60090979600311312</v>
      </c>
      <c r="L311">
        <v>0.60090979600311312</v>
      </c>
    </row>
    <row r="312" spans="1:13" x14ac:dyDescent="0.2">
      <c r="B312">
        <v>2</v>
      </c>
      <c r="C312">
        <f>93.848+70.84</f>
        <v>164.68799999999999</v>
      </c>
      <c r="D312">
        <v>114</v>
      </c>
      <c r="F312">
        <f t="shared" si="17"/>
        <v>0.69221801224132906</v>
      </c>
      <c r="L312">
        <v>0.45050872949862714</v>
      </c>
    </row>
    <row r="313" spans="1:13" x14ac:dyDescent="0.2">
      <c r="A313" t="s">
        <v>66</v>
      </c>
      <c r="B313">
        <v>1</v>
      </c>
      <c r="C313">
        <f>110.845+105.103</f>
        <v>215.94799999999998</v>
      </c>
      <c r="D313">
        <v>97</v>
      </c>
      <c r="F313">
        <f t="shared" si="17"/>
        <v>0.44918221053216517</v>
      </c>
      <c r="H313">
        <f>AVERAGE(F313:F314)</f>
        <v>0.45050872949862714</v>
      </c>
      <c r="L313">
        <v>0.50533033756881596</v>
      </c>
    </row>
    <row r="314" spans="1:13" x14ac:dyDescent="0.2">
      <c r="B314">
        <v>2</v>
      </c>
      <c r="C314">
        <f>120.699+105.047</f>
        <v>225.74599999999998</v>
      </c>
      <c r="D314">
        <v>102</v>
      </c>
      <c r="F314">
        <f t="shared" si="17"/>
        <v>0.4518352484650891</v>
      </c>
      <c r="L314">
        <v>0.38104350722975938</v>
      </c>
    </row>
    <row r="315" spans="1:13" x14ac:dyDescent="0.2">
      <c r="A315" t="s">
        <v>78</v>
      </c>
      <c r="B315">
        <v>1</v>
      </c>
      <c r="C315">
        <f>125.11+112.857</f>
        <v>237.96699999999998</v>
      </c>
      <c r="D315">
        <v>124</v>
      </c>
      <c r="F315">
        <f t="shared" si="17"/>
        <v>0.52108065404026616</v>
      </c>
      <c r="H315">
        <f>AVERAGE(F315:F316)</f>
        <v>0.50533033756881596</v>
      </c>
    </row>
    <row r="316" spans="1:13" x14ac:dyDescent="0.2">
      <c r="B316">
        <v>2</v>
      </c>
      <c r="C316">
        <f>94.333+103.796</f>
        <v>198.12900000000002</v>
      </c>
      <c r="D316">
        <v>97</v>
      </c>
      <c r="F316">
        <f t="shared" si="17"/>
        <v>0.48958002109736581</v>
      </c>
    </row>
    <row r="317" spans="1:13" x14ac:dyDescent="0.2">
      <c r="A317" t="s">
        <v>79</v>
      </c>
      <c r="B317">
        <v>1</v>
      </c>
      <c r="C317">
        <f>123.602+68.651</f>
        <v>192.25299999999999</v>
      </c>
      <c r="D317">
        <v>82</v>
      </c>
      <c r="F317">
        <f t="shared" si="17"/>
        <v>0.4265213026584761</v>
      </c>
      <c r="H317">
        <f>AVERAGE(F317:F318)</f>
        <v>0.38104350722975938</v>
      </c>
    </row>
    <row r="318" spans="1:13" x14ac:dyDescent="0.2">
      <c r="B318">
        <v>2</v>
      </c>
      <c r="C318">
        <f>140.408+71.175</f>
        <v>211.58299999999997</v>
      </c>
      <c r="D318">
        <v>71</v>
      </c>
      <c r="F318">
        <f t="shared" si="17"/>
        <v>0.33556571180104267</v>
      </c>
    </row>
    <row r="322" spans="11:14" x14ac:dyDescent="0.2">
      <c r="K322" t="s">
        <v>90</v>
      </c>
      <c r="L322">
        <f>0.82031/1.103617</f>
        <v>0.74329228346428144</v>
      </c>
      <c r="M322">
        <f>0.662868/0.974405</f>
        <v>0.68027976046920946</v>
      </c>
      <c r="N322">
        <f>0.489717/0.728843</f>
        <v>0.67191013702539504</v>
      </c>
    </row>
    <row r="323" spans="11:14" x14ac:dyDescent="0.2">
      <c r="K323" t="s">
        <v>91</v>
      </c>
      <c r="L323">
        <f>0.745482/0.772947</f>
        <v>0.96446716269032662</v>
      </c>
      <c r="M323">
        <f>0.582347/0.728732</f>
        <v>0.79912368332939943</v>
      </c>
      <c r="N323">
        <f>0.349095/0.443492</f>
        <v>0.78715061376529905</v>
      </c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6F9C-9000-594E-94ED-F50B70341BB8}">
  <dimension ref="B2:Y448"/>
  <sheetViews>
    <sheetView topLeftCell="A284" zoomScale="50" workbookViewId="0">
      <selection activeCell="M28" sqref="M28"/>
    </sheetView>
  </sheetViews>
  <sheetFormatPr baseColWidth="10" defaultRowHeight="16" x14ac:dyDescent="0.2"/>
  <sheetData>
    <row r="2" spans="2:9" x14ac:dyDescent="0.2">
      <c r="B2" s="20"/>
      <c r="C2" s="18" t="s">
        <v>0</v>
      </c>
      <c r="D2" s="18"/>
      <c r="E2" s="18"/>
      <c r="F2" s="18" t="s">
        <v>1</v>
      </c>
      <c r="G2" s="18"/>
      <c r="H2" s="18"/>
    </row>
    <row r="3" spans="2:9" x14ac:dyDescent="0.2">
      <c r="B3" s="13" t="s">
        <v>101</v>
      </c>
      <c r="C3" s="12">
        <v>0.93176899999999996</v>
      </c>
      <c r="D3" s="12">
        <v>1.226448</v>
      </c>
      <c r="E3" s="12">
        <v>1.1159570000000001</v>
      </c>
      <c r="F3" s="12">
        <v>0.83567100000000005</v>
      </c>
      <c r="G3" s="12">
        <v>0.87391300000000005</v>
      </c>
      <c r="H3" s="12">
        <v>0.58179599999999998</v>
      </c>
    </row>
    <row r="4" spans="2:9" x14ac:dyDescent="0.2">
      <c r="B4" s="13" t="s">
        <v>191</v>
      </c>
      <c r="C4" s="12">
        <v>1.5107520000000001</v>
      </c>
      <c r="D4" s="12">
        <v>1.4999480000000001</v>
      </c>
      <c r="E4" s="12">
        <v>1.398862</v>
      </c>
      <c r="F4" s="12">
        <v>1.3694329999999999</v>
      </c>
      <c r="G4" s="12">
        <v>1.359291</v>
      </c>
      <c r="H4" s="12">
        <v>1.371165</v>
      </c>
    </row>
    <row r="7" spans="2:9" x14ac:dyDescent="0.2">
      <c r="B7" t="s">
        <v>102</v>
      </c>
    </row>
    <row r="8" spans="2:9" x14ac:dyDescent="0.2">
      <c r="C8" t="s">
        <v>103</v>
      </c>
      <c r="E8" t="s">
        <v>104</v>
      </c>
      <c r="F8" t="s">
        <v>105</v>
      </c>
      <c r="G8" t="s">
        <v>106</v>
      </c>
      <c r="I8" t="s">
        <v>12</v>
      </c>
    </row>
    <row r="9" spans="2:9" x14ac:dyDescent="0.2">
      <c r="C9">
        <v>1</v>
      </c>
      <c r="D9" t="s">
        <v>107</v>
      </c>
      <c r="E9">
        <v>94.477999999999994</v>
      </c>
      <c r="F9">
        <f>SUM(E9:E10)</f>
        <v>172.81099999999998</v>
      </c>
      <c r="G9">
        <v>306</v>
      </c>
      <c r="H9">
        <f>G9/F9</f>
        <v>1.7707206138498131</v>
      </c>
      <c r="I9">
        <f>AVERAGE(H9,H11)</f>
        <v>1.6119667389714092</v>
      </c>
    </row>
    <row r="10" spans="2:9" x14ac:dyDescent="0.2">
      <c r="D10" t="s">
        <v>108</v>
      </c>
      <c r="E10">
        <v>78.332999999999998</v>
      </c>
    </row>
    <row r="11" spans="2:9" x14ac:dyDescent="0.2">
      <c r="D11" t="s">
        <v>109</v>
      </c>
      <c r="E11">
        <v>100.526</v>
      </c>
      <c r="F11">
        <f>SUM(E11:E12)</f>
        <v>221.578</v>
      </c>
      <c r="G11">
        <v>322</v>
      </c>
      <c r="H11">
        <f>G11/F11</f>
        <v>1.4532128640930055</v>
      </c>
    </row>
    <row r="12" spans="2:9" x14ac:dyDescent="0.2">
      <c r="D12" t="s">
        <v>110</v>
      </c>
      <c r="E12">
        <v>121.05200000000001</v>
      </c>
    </row>
    <row r="13" spans="2:9" x14ac:dyDescent="0.2">
      <c r="C13">
        <v>2</v>
      </c>
      <c r="D13" t="s">
        <v>107</v>
      </c>
      <c r="E13">
        <v>106.02</v>
      </c>
      <c r="F13">
        <f>SUM(E13:E14)</f>
        <v>248.774</v>
      </c>
      <c r="G13">
        <v>379</v>
      </c>
      <c r="H13">
        <f>G13/F13</f>
        <v>1.5234711022856087</v>
      </c>
      <c r="I13">
        <f>AVERAGE(H13,H15)</f>
        <v>1.5751637111463217</v>
      </c>
    </row>
    <row r="14" spans="2:9" x14ac:dyDescent="0.2">
      <c r="D14" t="s">
        <v>108</v>
      </c>
      <c r="E14">
        <v>142.75399999999999</v>
      </c>
    </row>
    <row r="15" spans="2:9" x14ac:dyDescent="0.2">
      <c r="D15" t="s">
        <v>109</v>
      </c>
      <c r="E15">
        <v>90.433000000000007</v>
      </c>
      <c r="F15">
        <f>SUM(E15:E16)</f>
        <v>181.94600000000003</v>
      </c>
      <c r="G15">
        <v>296</v>
      </c>
      <c r="H15">
        <f>G15/F15</f>
        <v>1.6268563200070347</v>
      </c>
    </row>
    <row r="16" spans="2:9" x14ac:dyDescent="0.2">
      <c r="D16" t="s">
        <v>110</v>
      </c>
      <c r="E16">
        <v>91.513000000000005</v>
      </c>
    </row>
    <row r="17" spans="3:9" x14ac:dyDescent="0.2">
      <c r="C17">
        <v>3</v>
      </c>
      <c r="D17" t="s">
        <v>107</v>
      </c>
      <c r="E17">
        <v>135.791</v>
      </c>
      <c r="F17">
        <f>SUM(E17:E18)</f>
        <v>230.39600000000002</v>
      </c>
      <c r="G17">
        <v>266</v>
      </c>
      <c r="H17">
        <f>G17/F17</f>
        <v>1.1545339328807791</v>
      </c>
      <c r="I17">
        <f>AVERAGE(H17,H19)</f>
        <v>1.2254957517441976</v>
      </c>
    </row>
    <row r="18" spans="3:9" x14ac:dyDescent="0.2">
      <c r="D18" t="s">
        <v>108</v>
      </c>
      <c r="E18">
        <v>94.605000000000004</v>
      </c>
    </row>
    <row r="19" spans="3:9" x14ac:dyDescent="0.2">
      <c r="D19" t="s">
        <v>109</v>
      </c>
      <c r="E19">
        <v>223.15700000000001</v>
      </c>
      <c r="F19">
        <f>SUM(E19:E20)</f>
        <v>354.81299999999999</v>
      </c>
      <c r="G19">
        <v>460</v>
      </c>
      <c r="H19">
        <f>G19/F19</f>
        <v>1.2964575706076158</v>
      </c>
    </row>
    <row r="20" spans="3:9" x14ac:dyDescent="0.2">
      <c r="D20" t="s">
        <v>110</v>
      </c>
      <c r="E20">
        <v>131.65600000000001</v>
      </c>
    </row>
    <row r="21" spans="3:9" x14ac:dyDescent="0.2">
      <c r="C21">
        <v>4</v>
      </c>
      <c r="D21" t="s">
        <v>107</v>
      </c>
      <c r="E21">
        <v>70.887</v>
      </c>
      <c r="F21">
        <f>SUM(E21:E22)</f>
        <v>143.54500000000002</v>
      </c>
      <c r="G21">
        <v>195</v>
      </c>
      <c r="H21">
        <f>G21/F21</f>
        <v>1.3584590198195687</v>
      </c>
      <c r="I21">
        <f>AVERAGE(H21,H23)</f>
        <v>1.4585574541649149</v>
      </c>
    </row>
    <row r="22" spans="3:9" x14ac:dyDescent="0.2">
      <c r="D22" t="s">
        <v>108</v>
      </c>
      <c r="E22">
        <v>72.658000000000001</v>
      </c>
    </row>
    <row r="23" spans="3:9" x14ac:dyDescent="0.2">
      <c r="D23" t="s">
        <v>109</v>
      </c>
      <c r="E23">
        <v>90.965000000000003</v>
      </c>
      <c r="F23">
        <f>SUM(E23:E24)</f>
        <v>130.88200000000001</v>
      </c>
      <c r="G23">
        <v>204</v>
      </c>
      <c r="H23">
        <f>G23/F23</f>
        <v>1.558655888510261</v>
      </c>
    </row>
    <row r="24" spans="3:9" x14ac:dyDescent="0.2">
      <c r="D24" t="s">
        <v>110</v>
      </c>
      <c r="E24">
        <v>39.917000000000002</v>
      </c>
    </row>
    <row r="25" spans="3:9" x14ac:dyDescent="0.2">
      <c r="C25">
        <v>5</v>
      </c>
      <c r="D25" t="s">
        <v>107</v>
      </c>
      <c r="E25">
        <v>115.41</v>
      </c>
      <c r="F25">
        <f>SUM(E25:E26)</f>
        <v>253.90299999999999</v>
      </c>
      <c r="G25">
        <v>371</v>
      </c>
      <c r="H25">
        <f>G25/F25</f>
        <v>1.4611879339747857</v>
      </c>
      <c r="I25">
        <f>AVERAGE(H25,H27)</f>
        <v>1.4794375250369871</v>
      </c>
    </row>
    <row r="26" spans="3:9" x14ac:dyDescent="0.2">
      <c r="D26" t="s">
        <v>108</v>
      </c>
      <c r="E26">
        <v>138.49299999999999</v>
      </c>
    </row>
    <row r="27" spans="3:9" x14ac:dyDescent="0.2">
      <c r="D27" t="s">
        <v>109</v>
      </c>
      <c r="E27">
        <v>114.79300000000001</v>
      </c>
      <c r="F27">
        <f>SUM(E27:E28)</f>
        <v>210.99200000000002</v>
      </c>
      <c r="G27">
        <v>316</v>
      </c>
      <c r="H27">
        <f>G27/F27</f>
        <v>1.4976871160991885</v>
      </c>
    </row>
    <row r="28" spans="3:9" x14ac:dyDescent="0.2">
      <c r="D28" t="s">
        <v>110</v>
      </c>
      <c r="E28">
        <v>96.198999999999998</v>
      </c>
    </row>
    <row r="29" spans="3:9" x14ac:dyDescent="0.2">
      <c r="C29">
        <v>6</v>
      </c>
      <c r="D29" t="s">
        <v>107</v>
      </c>
      <c r="E29">
        <v>99.843999999999994</v>
      </c>
      <c r="F29">
        <f>SUM(E29:E30)</f>
        <v>196.03899999999999</v>
      </c>
      <c r="G29">
        <v>398</v>
      </c>
      <c r="H29">
        <f>G29/F29</f>
        <v>2.0302082748840795</v>
      </c>
      <c r="I29">
        <f>AVERAGE(H29,H31)</f>
        <v>1.8180981919698365</v>
      </c>
    </row>
    <row r="30" spans="3:9" x14ac:dyDescent="0.2">
      <c r="D30" t="s">
        <v>108</v>
      </c>
      <c r="E30">
        <v>96.194999999999993</v>
      </c>
    </row>
    <row r="31" spans="3:9" x14ac:dyDescent="0.2">
      <c r="D31" t="s">
        <v>109</v>
      </c>
      <c r="E31">
        <v>107.42100000000001</v>
      </c>
      <c r="F31">
        <f>SUM(E31:E32)</f>
        <v>211.08500000000001</v>
      </c>
      <c r="G31">
        <v>339</v>
      </c>
      <c r="H31">
        <f>G31/F31</f>
        <v>1.6059881090555936</v>
      </c>
    </row>
    <row r="32" spans="3:9" x14ac:dyDescent="0.2">
      <c r="D32" t="s">
        <v>110</v>
      </c>
      <c r="E32">
        <v>103.664</v>
      </c>
    </row>
    <row r="33" spans="3:9" x14ac:dyDescent="0.2">
      <c r="C33">
        <v>7</v>
      </c>
      <c r="D33" t="s">
        <v>107</v>
      </c>
      <c r="E33">
        <v>124.866</v>
      </c>
      <c r="F33">
        <f>SUM(E33:E34)</f>
        <v>165.64699999999999</v>
      </c>
      <c r="G33">
        <v>240</v>
      </c>
      <c r="H33">
        <f>G33/F33</f>
        <v>1.4488641508750537</v>
      </c>
      <c r="I33">
        <f>AVERAGE(H33,H35)</f>
        <v>1.365714343426792</v>
      </c>
    </row>
    <row r="34" spans="3:9" x14ac:dyDescent="0.2">
      <c r="D34" t="s">
        <v>108</v>
      </c>
      <c r="E34">
        <v>40.780999999999999</v>
      </c>
    </row>
    <row r="35" spans="3:9" x14ac:dyDescent="0.2">
      <c r="D35" t="s">
        <v>109</v>
      </c>
      <c r="E35">
        <v>145.86500000000001</v>
      </c>
      <c r="F35">
        <f>SUM(E35:E36)</f>
        <v>269.77199999999999</v>
      </c>
      <c r="G35">
        <v>346</v>
      </c>
      <c r="H35">
        <f>G35/F35</f>
        <v>1.28256453597853</v>
      </c>
    </row>
    <row r="36" spans="3:9" x14ac:dyDescent="0.2">
      <c r="D36" t="s">
        <v>110</v>
      </c>
      <c r="E36">
        <v>123.907</v>
      </c>
    </row>
    <row r="37" spans="3:9" x14ac:dyDescent="0.2">
      <c r="C37">
        <v>8</v>
      </c>
      <c r="D37" t="s">
        <v>107</v>
      </c>
      <c r="E37">
        <v>106.81</v>
      </c>
      <c r="F37">
        <f>SUM(E37:E38)</f>
        <v>216.97500000000002</v>
      </c>
      <c r="G37">
        <v>348</v>
      </c>
      <c r="H37">
        <f>G37/F37</f>
        <v>1.6038714137573451</v>
      </c>
      <c r="I37">
        <f>AVERAGE(H37,H39)</f>
        <v>1.5515842280737524</v>
      </c>
    </row>
    <row r="38" spans="3:9" x14ac:dyDescent="0.2">
      <c r="D38" t="s">
        <v>108</v>
      </c>
      <c r="E38">
        <v>110.16500000000001</v>
      </c>
    </row>
    <row r="39" spans="3:9" x14ac:dyDescent="0.2">
      <c r="D39" t="s">
        <v>109</v>
      </c>
      <c r="E39">
        <v>119.962</v>
      </c>
      <c r="F39">
        <f>SUM(E39:E40)</f>
        <v>192.75700000000001</v>
      </c>
      <c r="G39">
        <v>289</v>
      </c>
      <c r="H39">
        <f>G39/F39</f>
        <v>1.4992970423901595</v>
      </c>
    </row>
    <row r="40" spans="3:9" x14ac:dyDescent="0.2">
      <c r="D40" t="s">
        <v>110</v>
      </c>
      <c r="E40">
        <v>72.795000000000002</v>
      </c>
    </row>
    <row r="41" spans="3:9" x14ac:dyDescent="0.2">
      <c r="C41" t="s">
        <v>111</v>
      </c>
    </row>
    <row r="42" spans="3:9" x14ac:dyDescent="0.2">
      <c r="C42">
        <v>1</v>
      </c>
      <c r="D42" t="s">
        <v>107</v>
      </c>
      <c r="E42">
        <v>104.67400000000001</v>
      </c>
      <c r="F42">
        <f>SUM(E42:E43)</f>
        <v>235.541</v>
      </c>
      <c r="G42">
        <v>301</v>
      </c>
      <c r="H42">
        <f>G42/F42</f>
        <v>1.277909153820354</v>
      </c>
      <c r="I42">
        <f>AVERAGE(H42,H44)</f>
        <v>1.386689217886774</v>
      </c>
    </row>
    <row r="43" spans="3:9" x14ac:dyDescent="0.2">
      <c r="D43" t="s">
        <v>108</v>
      </c>
      <c r="E43">
        <v>130.86699999999999</v>
      </c>
    </row>
    <row r="44" spans="3:9" x14ac:dyDescent="0.2">
      <c r="D44" t="s">
        <v>109</v>
      </c>
      <c r="E44">
        <v>187.62299999999999</v>
      </c>
      <c r="F44">
        <f>SUM(E44:E45)</f>
        <v>270.81799999999998</v>
      </c>
      <c r="G44">
        <v>405</v>
      </c>
      <c r="H44">
        <f>G44/F44</f>
        <v>1.4954692819531938</v>
      </c>
    </row>
    <row r="45" spans="3:9" x14ac:dyDescent="0.2">
      <c r="D45" t="s">
        <v>110</v>
      </c>
      <c r="E45">
        <v>83.194999999999993</v>
      </c>
    </row>
    <row r="46" spans="3:9" x14ac:dyDescent="0.2">
      <c r="C46">
        <v>2</v>
      </c>
      <c r="D46" t="s">
        <v>107</v>
      </c>
      <c r="E46">
        <v>120.532</v>
      </c>
      <c r="F46">
        <f>SUM(E46:E47)</f>
        <v>171.35499999999999</v>
      </c>
      <c r="G46">
        <v>245</v>
      </c>
      <c r="H46">
        <f>G46/F46</f>
        <v>1.429780280703802</v>
      </c>
      <c r="I46">
        <f>AVERAGE(H46,H48)</f>
        <v>1.462742650830704</v>
      </c>
    </row>
    <row r="47" spans="3:9" x14ac:dyDescent="0.2">
      <c r="D47" t="s">
        <v>108</v>
      </c>
      <c r="E47">
        <v>50.823</v>
      </c>
    </row>
    <row r="48" spans="3:9" x14ac:dyDescent="0.2">
      <c r="D48" t="s">
        <v>109</v>
      </c>
      <c r="E48">
        <v>117.239</v>
      </c>
      <c r="F48">
        <f>SUM(E48:E49)</f>
        <v>169.15100000000001</v>
      </c>
      <c r="G48">
        <v>253</v>
      </c>
      <c r="H48">
        <f>G48/F48</f>
        <v>1.4957050209576059</v>
      </c>
    </row>
    <row r="49" spans="3:9" x14ac:dyDescent="0.2">
      <c r="D49" t="s">
        <v>110</v>
      </c>
      <c r="E49">
        <v>51.911999999999999</v>
      </c>
    </row>
    <row r="50" spans="3:9" x14ac:dyDescent="0.2">
      <c r="C50">
        <v>3</v>
      </c>
      <c r="D50" t="s">
        <v>107</v>
      </c>
      <c r="E50">
        <v>85.838999999999999</v>
      </c>
      <c r="F50">
        <f>SUM(E50:E51)</f>
        <v>222.34</v>
      </c>
      <c r="G50">
        <v>213</v>
      </c>
      <c r="H50">
        <f>G50/F50</f>
        <v>0.95799226410002702</v>
      </c>
      <c r="I50">
        <f>AVERAGE(H50,H52)</f>
        <v>1.0768879748279978</v>
      </c>
    </row>
    <row r="51" spans="3:9" x14ac:dyDescent="0.2">
      <c r="D51" t="s">
        <v>108</v>
      </c>
      <c r="E51">
        <v>136.501</v>
      </c>
    </row>
    <row r="52" spans="3:9" x14ac:dyDescent="0.2">
      <c r="D52" t="s">
        <v>109</v>
      </c>
      <c r="E52">
        <v>106.46599999999999</v>
      </c>
      <c r="F52">
        <f>SUM(E52:E53)</f>
        <v>212.41300000000001</v>
      </c>
      <c r="G52">
        <v>254</v>
      </c>
      <c r="H52">
        <f>G52/F52</f>
        <v>1.1957836855559687</v>
      </c>
    </row>
    <row r="53" spans="3:9" x14ac:dyDescent="0.2">
      <c r="D53" t="s">
        <v>110</v>
      </c>
      <c r="E53">
        <v>105.947</v>
      </c>
    </row>
    <row r="54" spans="3:9" x14ac:dyDescent="0.2">
      <c r="C54">
        <v>4</v>
      </c>
      <c r="D54" t="s">
        <v>107</v>
      </c>
      <c r="E54">
        <v>94.090999999999994</v>
      </c>
      <c r="F54">
        <f>SUM(E54:E55)</f>
        <v>210.58099999999999</v>
      </c>
      <c r="G54">
        <v>266</v>
      </c>
      <c r="H54">
        <f>G54/F54</f>
        <v>1.2631718911012866</v>
      </c>
      <c r="I54">
        <f>AVERAGE(H54,H56)</f>
        <v>1.3267707774281412</v>
      </c>
    </row>
    <row r="55" spans="3:9" x14ac:dyDescent="0.2">
      <c r="D55" t="s">
        <v>108</v>
      </c>
      <c r="E55">
        <v>116.49</v>
      </c>
    </row>
    <row r="56" spans="3:9" x14ac:dyDescent="0.2">
      <c r="D56" t="s">
        <v>109</v>
      </c>
      <c r="E56">
        <v>125.491</v>
      </c>
      <c r="F56">
        <f>SUM(E56:E57)</f>
        <v>160.38900000000001</v>
      </c>
      <c r="G56">
        <v>223</v>
      </c>
      <c r="H56">
        <f>G56/F56</f>
        <v>1.3903696637549956</v>
      </c>
    </row>
    <row r="57" spans="3:9" x14ac:dyDescent="0.2">
      <c r="D57" t="s">
        <v>110</v>
      </c>
      <c r="E57">
        <v>34.898000000000003</v>
      </c>
    </row>
    <row r="58" spans="3:9" x14ac:dyDescent="0.2">
      <c r="C58">
        <v>5</v>
      </c>
      <c r="D58" t="s">
        <v>107</v>
      </c>
      <c r="E58">
        <v>97.819000000000003</v>
      </c>
      <c r="F58">
        <f>SUM(E58:E59)</f>
        <v>209.739</v>
      </c>
      <c r="G58">
        <v>285</v>
      </c>
      <c r="H58">
        <f>G58/F58</f>
        <v>1.3588316908157281</v>
      </c>
      <c r="I58">
        <f>AVERAGE(H58,H60)</f>
        <v>1.1861572535199203</v>
      </c>
    </row>
    <row r="59" spans="3:9" x14ac:dyDescent="0.2">
      <c r="D59" t="s">
        <v>108</v>
      </c>
      <c r="E59">
        <v>111.92</v>
      </c>
    </row>
    <row r="60" spans="3:9" x14ac:dyDescent="0.2">
      <c r="D60" t="s">
        <v>109</v>
      </c>
      <c r="E60">
        <v>70.549000000000007</v>
      </c>
      <c r="F60">
        <f>SUM(E60:E61)</f>
        <v>143.07100000000003</v>
      </c>
      <c r="G60">
        <v>145</v>
      </c>
      <c r="H60">
        <f>G60/F60</f>
        <v>1.0134828162241123</v>
      </c>
    </row>
    <row r="61" spans="3:9" x14ac:dyDescent="0.2">
      <c r="D61" t="s">
        <v>110</v>
      </c>
      <c r="E61">
        <v>72.522000000000006</v>
      </c>
    </row>
    <row r="62" spans="3:9" x14ac:dyDescent="0.2">
      <c r="C62">
        <v>6</v>
      </c>
      <c r="D62" t="s">
        <v>107</v>
      </c>
      <c r="E62">
        <v>82.753</v>
      </c>
      <c r="F62">
        <f>SUM(E62:E63)</f>
        <v>172.22</v>
      </c>
      <c r="G62">
        <v>195</v>
      </c>
      <c r="H62">
        <f>G62/F62</f>
        <v>1.1322726744861225</v>
      </c>
      <c r="I62">
        <f>AVERAGE(H62,H64)</f>
        <v>1.3596202742797718</v>
      </c>
    </row>
    <row r="63" spans="3:9" x14ac:dyDescent="0.2">
      <c r="D63" t="s">
        <v>108</v>
      </c>
      <c r="E63">
        <v>89.466999999999999</v>
      </c>
    </row>
    <row r="64" spans="3:9" x14ac:dyDescent="0.2">
      <c r="D64" t="s">
        <v>109</v>
      </c>
      <c r="E64">
        <v>93.225999999999999</v>
      </c>
      <c r="F64">
        <f>SUM(E64:E65)</f>
        <v>147.45099999999999</v>
      </c>
      <c r="G64">
        <v>234</v>
      </c>
      <c r="H64">
        <f>G64/F64</f>
        <v>1.586967874073421</v>
      </c>
    </row>
    <row r="65" spans="3:14" x14ac:dyDescent="0.2">
      <c r="D65" t="s">
        <v>110</v>
      </c>
      <c r="E65">
        <v>54.225000000000001</v>
      </c>
    </row>
    <row r="66" spans="3:14" x14ac:dyDescent="0.2">
      <c r="C66">
        <v>7</v>
      </c>
      <c r="D66" t="s">
        <v>107</v>
      </c>
      <c r="E66">
        <v>105.01900000000001</v>
      </c>
      <c r="F66">
        <f>SUM(E66:E67)</f>
        <v>201.11200000000002</v>
      </c>
      <c r="G66">
        <v>338</v>
      </c>
      <c r="H66">
        <f>G66/F66</f>
        <v>1.6806555551135685</v>
      </c>
      <c r="I66">
        <f>AVERAGE(H66,H68)</f>
        <v>1.5721935712206117</v>
      </c>
    </row>
    <row r="67" spans="3:14" x14ac:dyDescent="0.2">
      <c r="D67" t="s">
        <v>108</v>
      </c>
      <c r="E67">
        <v>96.093000000000004</v>
      </c>
    </row>
    <row r="68" spans="3:14" x14ac:dyDescent="0.2">
      <c r="D68" t="s">
        <v>109</v>
      </c>
      <c r="E68">
        <v>86.858999999999995</v>
      </c>
      <c r="F68">
        <f>SUM(E68:E69)</f>
        <v>140.053</v>
      </c>
      <c r="G68">
        <v>205</v>
      </c>
      <c r="H68">
        <f>G68/F68</f>
        <v>1.4637315873276546</v>
      </c>
    </row>
    <row r="69" spans="3:14" x14ac:dyDescent="0.2">
      <c r="D69" t="s">
        <v>110</v>
      </c>
      <c r="E69">
        <v>53.194000000000003</v>
      </c>
    </row>
    <row r="70" spans="3:14" x14ac:dyDescent="0.2">
      <c r="C70">
        <v>8</v>
      </c>
      <c r="D70" t="s">
        <v>107</v>
      </c>
      <c r="E70">
        <v>116.71299999999999</v>
      </c>
      <c r="F70">
        <f>SUM(E70:E71)</f>
        <v>242.92599999999999</v>
      </c>
      <c r="G70">
        <v>335</v>
      </c>
      <c r="H70">
        <f>G70/F70</f>
        <v>1.3790207717576546</v>
      </c>
      <c r="I70">
        <f>AVERAGE(H70,H72)</f>
        <v>1.4781735087363961</v>
      </c>
    </row>
    <row r="71" spans="3:14" x14ac:dyDescent="0.2">
      <c r="D71" t="s">
        <v>108</v>
      </c>
      <c r="E71">
        <v>126.21299999999999</v>
      </c>
    </row>
    <row r="72" spans="3:14" x14ac:dyDescent="0.2">
      <c r="D72" t="s">
        <v>109</v>
      </c>
      <c r="E72">
        <v>102.971</v>
      </c>
      <c r="F72">
        <f>SUM(E72:E73)</f>
        <v>161.03200000000001</v>
      </c>
      <c r="G72">
        <v>254</v>
      </c>
      <c r="H72">
        <f>G72/F72</f>
        <v>1.5773262457151374</v>
      </c>
    </row>
    <row r="73" spans="3:14" x14ac:dyDescent="0.2">
      <c r="D73" t="s">
        <v>110</v>
      </c>
      <c r="E73">
        <v>58.061</v>
      </c>
    </row>
    <row r="74" spans="3:14" x14ac:dyDescent="0.2">
      <c r="C74" t="s">
        <v>112</v>
      </c>
    </row>
    <row r="75" spans="3:14" x14ac:dyDescent="0.2">
      <c r="C75">
        <v>1</v>
      </c>
      <c r="D75" t="s">
        <v>107</v>
      </c>
      <c r="E75">
        <v>125.85599999999999</v>
      </c>
      <c r="F75">
        <f>SUM(E75:E76)</f>
        <v>209.63</v>
      </c>
      <c r="G75">
        <v>254</v>
      </c>
      <c r="H75">
        <f>G75/F75</f>
        <v>1.2116586366455184</v>
      </c>
      <c r="I75">
        <f>AVERAGE(H75,H77)</f>
        <v>0.97559470015630789</v>
      </c>
    </row>
    <row r="76" spans="3:14" x14ac:dyDescent="0.2">
      <c r="D76" t="s">
        <v>108</v>
      </c>
      <c r="E76">
        <v>83.774000000000001</v>
      </c>
    </row>
    <row r="77" spans="3:14" x14ac:dyDescent="0.2">
      <c r="D77" t="s">
        <v>109</v>
      </c>
      <c r="E77">
        <v>139.21799999999999</v>
      </c>
      <c r="F77">
        <f>SUM(E77:E78)</f>
        <v>246.10199999999998</v>
      </c>
      <c r="G77">
        <v>182</v>
      </c>
      <c r="H77">
        <f>G77/F77</f>
        <v>0.73953076366709747</v>
      </c>
    </row>
    <row r="78" spans="3:14" x14ac:dyDescent="0.2">
      <c r="D78" t="s">
        <v>110</v>
      </c>
      <c r="E78">
        <v>106.884</v>
      </c>
      <c r="K78" t="s">
        <v>112</v>
      </c>
      <c r="L78" t="s">
        <v>113</v>
      </c>
      <c r="M78" t="s">
        <v>103</v>
      </c>
      <c r="N78" t="s">
        <v>111</v>
      </c>
    </row>
    <row r="79" spans="3:14" x14ac:dyDescent="0.2">
      <c r="C79">
        <v>2</v>
      </c>
      <c r="D79" t="s">
        <v>107</v>
      </c>
      <c r="E79">
        <v>108.032</v>
      </c>
      <c r="F79">
        <f>SUM(E79:E80)</f>
        <v>210.27499999999998</v>
      </c>
      <c r="G79">
        <v>187</v>
      </c>
      <c r="H79">
        <f>G79/F79</f>
        <v>0.88931161574129125</v>
      </c>
      <c r="I79">
        <f>AVERAGE(H79,H81)</f>
        <v>0.81507692085923367</v>
      </c>
      <c r="K79">
        <v>0.97559470015630789</v>
      </c>
      <c r="L79">
        <v>0.90490831845862818</v>
      </c>
      <c r="M79">
        <v>1.6119667389714092</v>
      </c>
      <c r="N79">
        <v>1.4929171937081085</v>
      </c>
    </row>
    <row r="80" spans="3:14" x14ac:dyDescent="0.2">
      <c r="D80" t="s">
        <v>108</v>
      </c>
      <c r="E80">
        <v>102.24299999999999</v>
      </c>
      <c r="K80">
        <v>0.81507692085923367</v>
      </c>
      <c r="L80">
        <v>0.93344304206641882</v>
      </c>
      <c r="M80">
        <v>1.5751637111463217</v>
      </c>
      <c r="N80">
        <v>1.462742650830704</v>
      </c>
    </row>
    <row r="81" spans="3:14" x14ac:dyDescent="0.2">
      <c r="D81" t="s">
        <v>109</v>
      </c>
      <c r="E81">
        <v>98.820999999999998</v>
      </c>
      <c r="F81">
        <f>SUM(E81:E82)</f>
        <v>197.07299999999998</v>
      </c>
      <c r="G81">
        <v>146</v>
      </c>
      <c r="H81">
        <f>G81/F81</f>
        <v>0.74084222597717608</v>
      </c>
      <c r="K81">
        <v>1.0482949776432244</v>
      </c>
      <c r="L81">
        <v>0.68899468162948752</v>
      </c>
      <c r="M81">
        <v>1.2254957517441976</v>
      </c>
      <c r="N81">
        <v>1.0768879748279978</v>
      </c>
    </row>
    <row r="82" spans="3:14" x14ac:dyDescent="0.2">
      <c r="D82" t="s">
        <v>110</v>
      </c>
      <c r="E82">
        <v>98.251999999999995</v>
      </c>
      <c r="K82">
        <v>0.98418316402846284</v>
      </c>
      <c r="L82">
        <v>1.0115772030727452</v>
      </c>
      <c r="M82">
        <v>1.4585574541649149</v>
      </c>
      <c r="N82">
        <v>1.3267707774281412</v>
      </c>
    </row>
    <row r="83" spans="3:14" x14ac:dyDescent="0.2">
      <c r="C83">
        <v>3</v>
      </c>
      <c r="D83" t="s">
        <v>107</v>
      </c>
      <c r="E83">
        <v>129.09200000000001</v>
      </c>
      <c r="F83">
        <f>SUM(E83:E84)</f>
        <v>173.80500000000001</v>
      </c>
      <c r="G83">
        <v>174</v>
      </c>
      <c r="H83">
        <f>G83/F83</f>
        <v>1.0011219470095796</v>
      </c>
      <c r="I83">
        <f>AVERAGE(H83,H85)</f>
        <v>1.0482949776432244</v>
      </c>
      <c r="K83">
        <v>0.92042448621100337</v>
      </c>
      <c r="L83">
        <v>0.83903587711154826</v>
      </c>
      <c r="M83">
        <v>1.4794375250369871</v>
      </c>
      <c r="N83">
        <v>1.1861572535199203</v>
      </c>
    </row>
    <row r="84" spans="3:14" x14ac:dyDescent="0.2">
      <c r="D84" t="s">
        <v>108</v>
      </c>
      <c r="E84">
        <v>44.713000000000001</v>
      </c>
      <c r="K84">
        <v>1.0654020884646838</v>
      </c>
      <c r="L84">
        <v>0.60761670008664259</v>
      </c>
      <c r="M84">
        <v>1.8180981919698365</v>
      </c>
      <c r="N84">
        <v>1.3596202742797718</v>
      </c>
    </row>
    <row r="85" spans="3:14" x14ac:dyDescent="0.2">
      <c r="D85" t="s">
        <v>109</v>
      </c>
      <c r="E85">
        <v>98.566999999999993</v>
      </c>
      <c r="F85">
        <f>SUM(E85:E86)</f>
        <v>147.88200000000001</v>
      </c>
      <c r="G85">
        <v>162</v>
      </c>
      <c r="H85">
        <f>G85/F85</f>
        <v>1.0954680082768693</v>
      </c>
      <c r="K85">
        <v>0.81899716388835708</v>
      </c>
      <c r="L85">
        <v>0.86412007513000244</v>
      </c>
      <c r="M85">
        <v>1.365714343426792</v>
      </c>
      <c r="N85">
        <v>1.5721935712206117</v>
      </c>
    </row>
    <row r="86" spans="3:14" x14ac:dyDescent="0.2">
      <c r="D86" t="s">
        <v>110</v>
      </c>
      <c r="E86">
        <v>49.314999999999998</v>
      </c>
      <c r="K86">
        <v>0.82617595861706628</v>
      </c>
      <c r="M86">
        <v>1.5515842280737524</v>
      </c>
      <c r="N86">
        <v>1.4781735087363961</v>
      </c>
    </row>
    <row r="87" spans="3:14" x14ac:dyDescent="0.2">
      <c r="C87">
        <v>4</v>
      </c>
      <c r="D87" t="s">
        <v>107</v>
      </c>
      <c r="E87">
        <v>96.075999999999993</v>
      </c>
      <c r="F87">
        <f>SUM(E87:E88)</f>
        <v>183.04599999999999</v>
      </c>
      <c r="G87">
        <v>170</v>
      </c>
      <c r="H87">
        <f>G87/F87</f>
        <v>0.92872829780492339</v>
      </c>
      <c r="I87">
        <f>AVERAGE(H87,H89)</f>
        <v>0.98418316402846284</v>
      </c>
      <c r="J87" t="s">
        <v>12</v>
      </c>
      <c r="K87" s="3">
        <f>AVERAGE(K79:K86)</f>
        <v>0.93176868248354228</v>
      </c>
      <c r="L87" s="3">
        <f t="shared" ref="L87:N87" si="0">AVERAGE(L79:L86)</f>
        <v>0.83567084250792478</v>
      </c>
      <c r="M87" s="3">
        <f t="shared" si="0"/>
        <v>1.5107522430667764</v>
      </c>
      <c r="N87" s="3">
        <f t="shared" si="0"/>
        <v>1.3694329005689565</v>
      </c>
    </row>
    <row r="88" spans="3:14" x14ac:dyDescent="0.2">
      <c r="D88" t="s">
        <v>108</v>
      </c>
      <c r="E88">
        <v>86.97</v>
      </c>
    </row>
    <row r="89" spans="3:14" x14ac:dyDescent="0.2">
      <c r="D89" t="s">
        <v>109</v>
      </c>
      <c r="E89">
        <v>67.942999999999998</v>
      </c>
      <c r="F89">
        <f>SUM(E89:E90)</f>
        <v>136.58600000000001</v>
      </c>
      <c r="G89">
        <v>142</v>
      </c>
      <c r="H89">
        <f>G89/F89</f>
        <v>1.0396380302520023</v>
      </c>
    </row>
    <row r="90" spans="3:14" x14ac:dyDescent="0.2">
      <c r="D90" t="s">
        <v>110</v>
      </c>
      <c r="E90">
        <v>68.643000000000001</v>
      </c>
    </row>
    <row r="91" spans="3:14" x14ac:dyDescent="0.2">
      <c r="C91">
        <v>5</v>
      </c>
      <c r="D91" t="s">
        <v>107</v>
      </c>
      <c r="E91">
        <v>69.551000000000002</v>
      </c>
      <c r="F91">
        <f>SUM(E91:E92)</f>
        <v>140.99200000000002</v>
      </c>
      <c r="G91">
        <v>123</v>
      </c>
      <c r="H91">
        <f>G91/F91</f>
        <v>0.87238992283250105</v>
      </c>
      <c r="I91">
        <f>AVERAGE(H91,H93)</f>
        <v>0.92042448621100337</v>
      </c>
    </row>
    <row r="92" spans="3:14" x14ac:dyDescent="0.2">
      <c r="D92" t="s">
        <v>108</v>
      </c>
      <c r="E92">
        <v>71.441000000000003</v>
      </c>
    </row>
    <row r="93" spans="3:14" x14ac:dyDescent="0.2">
      <c r="D93" t="s">
        <v>109</v>
      </c>
      <c r="E93">
        <v>63.433999999999997</v>
      </c>
      <c r="F93">
        <f>SUM(E93:E94)</f>
        <v>136.29899999999998</v>
      </c>
      <c r="G93">
        <v>132</v>
      </c>
      <c r="H93">
        <f>G93/F93</f>
        <v>0.96845904958950557</v>
      </c>
    </row>
    <row r="94" spans="3:14" x14ac:dyDescent="0.2">
      <c r="D94" t="s">
        <v>110</v>
      </c>
      <c r="E94">
        <v>72.864999999999995</v>
      </c>
    </row>
    <row r="95" spans="3:14" x14ac:dyDescent="0.2">
      <c r="C95">
        <v>6</v>
      </c>
      <c r="D95" t="s">
        <v>107</v>
      </c>
      <c r="E95">
        <v>67.944000000000003</v>
      </c>
      <c r="F95">
        <f>SUM(E95:E96)</f>
        <v>147.77100000000002</v>
      </c>
      <c r="G95">
        <v>164</v>
      </c>
      <c r="H95">
        <f>G95/F95</f>
        <v>1.1098253378538414</v>
      </c>
      <c r="I95">
        <f>AVERAGE(H95,H97)</f>
        <v>1.0654020884646838</v>
      </c>
    </row>
    <row r="96" spans="3:14" x14ac:dyDescent="0.2">
      <c r="D96" t="s">
        <v>108</v>
      </c>
      <c r="E96">
        <v>79.826999999999998</v>
      </c>
    </row>
    <row r="97" spans="3:9" x14ac:dyDescent="0.2">
      <c r="D97" t="s">
        <v>109</v>
      </c>
      <c r="E97">
        <v>106.85</v>
      </c>
      <c r="F97">
        <f>SUM(E97:E98)</f>
        <v>153.774</v>
      </c>
      <c r="G97">
        <v>157</v>
      </c>
      <c r="H97">
        <f>G97/F97</f>
        <v>1.0209788390755263</v>
      </c>
    </row>
    <row r="98" spans="3:9" x14ac:dyDescent="0.2">
      <c r="D98" t="s">
        <v>110</v>
      </c>
      <c r="E98">
        <v>46.923999999999999</v>
      </c>
    </row>
    <row r="99" spans="3:9" x14ac:dyDescent="0.2">
      <c r="C99">
        <v>7</v>
      </c>
      <c r="D99" t="s">
        <v>107</v>
      </c>
      <c r="E99">
        <v>144.191</v>
      </c>
      <c r="F99">
        <f>SUM(E99:E100)</f>
        <v>248.58500000000001</v>
      </c>
      <c r="G99">
        <v>186</v>
      </c>
      <c r="H99">
        <f>G99/F99</f>
        <v>0.74823501015749139</v>
      </c>
      <c r="I99">
        <f>AVERAGE(H99,H101)</f>
        <v>0.81899716388835708</v>
      </c>
    </row>
    <row r="100" spans="3:9" x14ac:dyDescent="0.2">
      <c r="D100" t="s">
        <v>108</v>
      </c>
      <c r="E100">
        <v>104.39400000000001</v>
      </c>
    </row>
    <row r="101" spans="3:9" x14ac:dyDescent="0.2">
      <c r="D101" t="s">
        <v>109</v>
      </c>
      <c r="E101">
        <v>121.428</v>
      </c>
      <c r="F101">
        <f>SUM(E101:E102)</f>
        <v>201.178</v>
      </c>
      <c r="G101">
        <v>179</v>
      </c>
      <c r="H101">
        <f>G101/F101</f>
        <v>0.88975931761922278</v>
      </c>
    </row>
    <row r="102" spans="3:9" x14ac:dyDescent="0.2">
      <c r="D102" t="s">
        <v>110</v>
      </c>
      <c r="E102">
        <v>79.75</v>
      </c>
    </row>
    <row r="103" spans="3:9" x14ac:dyDescent="0.2">
      <c r="C103">
        <v>8</v>
      </c>
      <c r="D103" t="s">
        <v>107</v>
      </c>
      <c r="E103">
        <v>99.206000000000003</v>
      </c>
      <c r="F103">
        <f>SUM(E103:E104)</f>
        <v>166.119</v>
      </c>
      <c r="G103">
        <v>157</v>
      </c>
      <c r="H103">
        <f>G103/F103</f>
        <v>0.94510561705765139</v>
      </c>
      <c r="I103">
        <f>AVERAGE(H103,H105)</f>
        <v>0.82617595861706628</v>
      </c>
    </row>
    <row r="104" spans="3:9" x14ac:dyDescent="0.2">
      <c r="D104" t="s">
        <v>108</v>
      </c>
      <c r="E104">
        <v>66.912999999999997</v>
      </c>
    </row>
    <row r="105" spans="3:9" x14ac:dyDescent="0.2">
      <c r="D105" t="s">
        <v>109</v>
      </c>
      <c r="E105">
        <v>62.029000000000003</v>
      </c>
      <c r="F105">
        <f>SUM(E105:E106)</f>
        <v>151.291</v>
      </c>
      <c r="G105">
        <v>107</v>
      </c>
      <c r="H105">
        <f>G105/F105</f>
        <v>0.70724630017648105</v>
      </c>
    </row>
    <row r="106" spans="3:9" x14ac:dyDescent="0.2">
      <c r="D106" t="s">
        <v>110</v>
      </c>
      <c r="E106">
        <v>89.262</v>
      </c>
    </row>
    <row r="107" spans="3:9" x14ac:dyDescent="0.2">
      <c r="C107" t="s">
        <v>113</v>
      </c>
    </row>
    <row r="108" spans="3:9" x14ac:dyDescent="0.2">
      <c r="C108">
        <v>1</v>
      </c>
      <c r="D108" t="s">
        <v>107</v>
      </c>
      <c r="E108">
        <v>87.558000000000007</v>
      </c>
      <c r="F108">
        <f>SUM(E108:E109)</f>
        <v>155.44999999999999</v>
      </c>
      <c r="G108">
        <v>134</v>
      </c>
      <c r="H108">
        <f>G108/F108</f>
        <v>0.86201350916693475</v>
      </c>
      <c r="I108">
        <f>AVERAGE(H108,H110)</f>
        <v>0.90490831845862818</v>
      </c>
    </row>
    <row r="109" spans="3:9" x14ac:dyDescent="0.2">
      <c r="D109" t="s">
        <v>108</v>
      </c>
      <c r="E109">
        <v>67.891999999999996</v>
      </c>
    </row>
    <row r="110" spans="3:9" x14ac:dyDescent="0.2">
      <c r="D110" t="s">
        <v>109</v>
      </c>
      <c r="E110">
        <v>88.635999999999996</v>
      </c>
      <c r="F110">
        <f>SUM(E110:E111)</f>
        <v>177.25200000000001</v>
      </c>
      <c r="G110">
        <v>168</v>
      </c>
      <c r="H110">
        <f>G110/F110</f>
        <v>0.94780312775032149</v>
      </c>
    </row>
    <row r="111" spans="3:9" x14ac:dyDescent="0.2">
      <c r="D111" t="s">
        <v>110</v>
      </c>
      <c r="E111">
        <v>88.616</v>
      </c>
    </row>
    <row r="112" spans="3:9" x14ac:dyDescent="0.2">
      <c r="C112">
        <v>2</v>
      </c>
      <c r="D112" t="s">
        <v>107</v>
      </c>
      <c r="E112">
        <v>101.386</v>
      </c>
      <c r="F112">
        <f>SUM(E112:E113)</f>
        <v>207.23</v>
      </c>
      <c r="G112">
        <v>198</v>
      </c>
      <c r="H112">
        <f>G112/F112</f>
        <v>0.95546011677845877</v>
      </c>
      <c r="I112">
        <f>AVERAGE(H112,H114)</f>
        <v>0.93344304206641882</v>
      </c>
    </row>
    <row r="113" spans="3:9" x14ac:dyDescent="0.2">
      <c r="D113" t="s">
        <v>108</v>
      </c>
      <c r="E113">
        <v>105.84399999999999</v>
      </c>
    </row>
    <row r="114" spans="3:9" x14ac:dyDescent="0.2">
      <c r="D114" t="s">
        <v>109</v>
      </c>
      <c r="E114">
        <v>82.02</v>
      </c>
      <c r="F114">
        <f>SUM(E114:E115)</f>
        <v>108.621</v>
      </c>
      <c r="G114">
        <v>99</v>
      </c>
      <c r="H114">
        <f>G114/F114</f>
        <v>0.91142596735437897</v>
      </c>
    </row>
    <row r="115" spans="3:9" x14ac:dyDescent="0.2">
      <c r="D115" t="s">
        <v>110</v>
      </c>
      <c r="E115">
        <v>26.600999999999999</v>
      </c>
    </row>
    <row r="116" spans="3:9" x14ac:dyDescent="0.2">
      <c r="C116">
        <v>3</v>
      </c>
      <c r="D116" t="s">
        <v>107</v>
      </c>
      <c r="E116">
        <v>158.4</v>
      </c>
      <c r="F116">
        <f>SUM(E116:E117)</f>
        <v>301.791</v>
      </c>
      <c r="G116">
        <v>187</v>
      </c>
      <c r="H116">
        <f>G116/F116</f>
        <v>0.61963411765095711</v>
      </c>
      <c r="I116">
        <f>AVERAGE(H116,H118)</f>
        <v>0.68899468162948752</v>
      </c>
    </row>
    <row r="117" spans="3:9" x14ac:dyDescent="0.2">
      <c r="D117" t="s">
        <v>108</v>
      </c>
      <c r="E117">
        <v>143.39099999999999</v>
      </c>
    </row>
    <row r="118" spans="3:9" x14ac:dyDescent="0.2">
      <c r="D118" t="s">
        <v>109</v>
      </c>
      <c r="E118">
        <v>123.123</v>
      </c>
      <c r="F118">
        <f>SUM(E118:E119)</f>
        <v>262.41000000000003</v>
      </c>
      <c r="G118">
        <v>199</v>
      </c>
      <c r="H118">
        <f>G118/F118</f>
        <v>0.75835524560801792</v>
      </c>
    </row>
    <row r="119" spans="3:9" x14ac:dyDescent="0.2">
      <c r="D119" t="s">
        <v>110</v>
      </c>
      <c r="E119">
        <v>139.28700000000001</v>
      </c>
    </row>
    <row r="120" spans="3:9" x14ac:dyDescent="0.2">
      <c r="C120">
        <v>4</v>
      </c>
      <c r="D120" t="s">
        <v>107</v>
      </c>
      <c r="E120">
        <v>108.321</v>
      </c>
      <c r="F120">
        <f>SUM(E120:E121)</f>
        <v>181.80199999999999</v>
      </c>
      <c r="G120">
        <v>179</v>
      </c>
      <c r="H120">
        <f>G120/F120</f>
        <v>0.98458762829891866</v>
      </c>
      <c r="I120">
        <f>AVERAGE(H120,H122)</f>
        <v>1.0115772030727452</v>
      </c>
    </row>
    <row r="121" spans="3:9" x14ac:dyDescent="0.2">
      <c r="D121" t="s">
        <v>108</v>
      </c>
      <c r="E121">
        <v>73.480999999999995</v>
      </c>
    </row>
    <row r="122" spans="3:9" x14ac:dyDescent="0.2">
      <c r="D122" t="s">
        <v>109</v>
      </c>
      <c r="E122">
        <v>83.046999999999997</v>
      </c>
      <c r="F122">
        <f>SUM(E122:E123)</f>
        <v>150.20699999999999</v>
      </c>
      <c r="G122">
        <v>156</v>
      </c>
      <c r="H122">
        <f>G122/F122</f>
        <v>1.0385667778465717</v>
      </c>
    </row>
    <row r="123" spans="3:9" x14ac:dyDescent="0.2">
      <c r="D123" t="s">
        <v>110</v>
      </c>
      <c r="E123">
        <v>67.16</v>
      </c>
    </row>
    <row r="124" spans="3:9" x14ac:dyDescent="0.2">
      <c r="C124">
        <v>5</v>
      </c>
      <c r="D124" t="s">
        <v>107</v>
      </c>
      <c r="E124">
        <v>132.89699999999999</v>
      </c>
      <c r="F124">
        <f>SUM(E124:E125)</f>
        <v>197.49099999999999</v>
      </c>
      <c r="G124">
        <v>156</v>
      </c>
      <c r="H124">
        <f>G124/F124</f>
        <v>0.78990941359353095</v>
      </c>
      <c r="I124">
        <f>AVERAGE(H124,H126)</f>
        <v>0.83903587711154826</v>
      </c>
    </row>
    <row r="125" spans="3:9" x14ac:dyDescent="0.2">
      <c r="D125" t="s">
        <v>108</v>
      </c>
      <c r="E125">
        <v>64.593999999999994</v>
      </c>
    </row>
    <row r="126" spans="3:9" x14ac:dyDescent="0.2">
      <c r="D126" t="s">
        <v>109</v>
      </c>
      <c r="E126">
        <v>105.779</v>
      </c>
      <c r="F126">
        <f>SUM(E126:E127)</f>
        <v>155.37700000000001</v>
      </c>
      <c r="G126">
        <v>138</v>
      </c>
      <c r="H126">
        <f>G126/F126</f>
        <v>0.88816234062956545</v>
      </c>
    </row>
    <row r="127" spans="3:9" x14ac:dyDescent="0.2">
      <c r="D127" t="s">
        <v>110</v>
      </c>
      <c r="E127">
        <v>49.597999999999999</v>
      </c>
    </row>
    <row r="128" spans="3:9" x14ac:dyDescent="0.2">
      <c r="C128">
        <v>7</v>
      </c>
      <c r="D128" t="s">
        <v>107</v>
      </c>
      <c r="E128">
        <v>75.983999999999995</v>
      </c>
      <c r="F128">
        <f>SUM(E128:E129)</f>
        <v>166.87</v>
      </c>
      <c r="G128">
        <v>101</v>
      </c>
      <c r="H128">
        <f>G128/F128</f>
        <v>0.60526158087133697</v>
      </c>
      <c r="I128">
        <f>AVERAGE(H128,H130)</f>
        <v>0.60761670008664259</v>
      </c>
    </row>
    <row r="129" spans="2:9" x14ac:dyDescent="0.2">
      <c r="D129" t="s">
        <v>108</v>
      </c>
      <c r="E129">
        <v>90.885999999999996</v>
      </c>
    </row>
    <row r="130" spans="2:9" x14ac:dyDescent="0.2">
      <c r="D130" t="s">
        <v>109</v>
      </c>
      <c r="E130">
        <v>92.331000000000003</v>
      </c>
      <c r="F130">
        <f>SUM(E130:E131)</f>
        <v>163.94200000000001</v>
      </c>
      <c r="G130">
        <v>100</v>
      </c>
      <c r="H130">
        <f>G130/F130</f>
        <v>0.60997181930194821</v>
      </c>
    </row>
    <row r="131" spans="2:9" x14ac:dyDescent="0.2">
      <c r="D131" t="s">
        <v>110</v>
      </c>
      <c r="E131">
        <v>71.611000000000004</v>
      </c>
    </row>
    <row r="132" spans="2:9" x14ac:dyDescent="0.2">
      <c r="C132">
        <v>8</v>
      </c>
      <c r="D132" t="s">
        <v>107</v>
      </c>
      <c r="E132">
        <v>128.476</v>
      </c>
      <c r="F132">
        <f>SUM(E132:E133)</f>
        <v>264.29700000000003</v>
      </c>
      <c r="G132">
        <v>208</v>
      </c>
      <c r="H132">
        <f>G132/F132</f>
        <v>0.78699342028097174</v>
      </c>
      <c r="I132">
        <f>AVERAGE(H132,H134)</f>
        <v>0.86412007513000244</v>
      </c>
    </row>
    <row r="133" spans="2:9" x14ac:dyDescent="0.2">
      <c r="D133" t="s">
        <v>108</v>
      </c>
      <c r="E133">
        <v>135.821</v>
      </c>
    </row>
    <row r="134" spans="2:9" x14ac:dyDescent="0.2">
      <c r="D134" t="s">
        <v>109</v>
      </c>
      <c r="E134">
        <v>89.971000000000004</v>
      </c>
      <c r="F134">
        <f>SUM(E134:E135)</f>
        <v>154.05099999999999</v>
      </c>
      <c r="G134">
        <v>145</v>
      </c>
      <c r="H134">
        <f>G134/F134</f>
        <v>0.94124672997903303</v>
      </c>
    </row>
    <row r="135" spans="2:9" x14ac:dyDescent="0.2">
      <c r="D135" t="s">
        <v>110</v>
      </c>
      <c r="E135">
        <v>64.08</v>
      </c>
    </row>
    <row r="140" spans="2:9" x14ac:dyDescent="0.2">
      <c r="B140" t="s">
        <v>3</v>
      </c>
    </row>
    <row r="141" spans="2:9" x14ac:dyDescent="0.2">
      <c r="B141" t="s">
        <v>103</v>
      </c>
      <c r="D141" t="s">
        <v>114</v>
      </c>
      <c r="E141" t="s">
        <v>115</v>
      </c>
      <c r="G141" t="s">
        <v>12</v>
      </c>
    </row>
    <row r="142" spans="2:9" x14ac:dyDescent="0.2">
      <c r="B142">
        <v>1</v>
      </c>
      <c r="C142">
        <v>112.83799999999999</v>
      </c>
      <c r="D142">
        <f>SUM(C142:C143)</f>
        <v>183.20499999999998</v>
      </c>
      <c r="E142">
        <v>276</v>
      </c>
      <c r="F142">
        <f>E142/D142</f>
        <v>1.5065091018258236</v>
      </c>
      <c r="G142">
        <f>AVERAGE(F142,F144)</f>
        <v>1.4886904536380605</v>
      </c>
    </row>
    <row r="143" spans="2:9" x14ac:dyDescent="0.2">
      <c r="C143">
        <v>70.367000000000004</v>
      </c>
    </row>
    <row r="144" spans="2:9" x14ac:dyDescent="0.2">
      <c r="C144">
        <v>124.73099999999999</v>
      </c>
      <c r="D144">
        <f>SUM(C144:C145)</f>
        <v>222.99700000000001</v>
      </c>
      <c r="E144">
        <v>328</v>
      </c>
      <c r="F144">
        <f>E144/D144</f>
        <v>1.4708718054502974</v>
      </c>
    </row>
    <row r="145" spans="2:16" x14ac:dyDescent="0.2">
      <c r="C145">
        <v>98.266000000000005</v>
      </c>
    </row>
    <row r="146" spans="2:16" x14ac:dyDescent="0.2">
      <c r="B146">
        <v>2</v>
      </c>
      <c r="C146">
        <v>91.453000000000003</v>
      </c>
      <c r="D146">
        <f>SUM(C146:C147)</f>
        <v>190.26</v>
      </c>
      <c r="E146">
        <v>228</v>
      </c>
      <c r="F146">
        <f>E146/D146</f>
        <v>1.1983601387574898</v>
      </c>
      <c r="G146">
        <f>AVERAGE(F146,F148)</f>
        <v>1.1152962121597785</v>
      </c>
      <c r="I146">
        <v>1.4886904536380605</v>
      </c>
    </row>
    <row r="147" spans="2:16" x14ac:dyDescent="0.2">
      <c r="C147">
        <v>98.807000000000002</v>
      </c>
      <c r="I147">
        <v>1.1152962121597785</v>
      </c>
    </row>
    <row r="148" spans="2:16" x14ac:dyDescent="0.2">
      <c r="C148">
        <v>48.375999999999998</v>
      </c>
      <c r="D148">
        <f>SUM(C148:C149)</f>
        <v>120.12799999999999</v>
      </c>
      <c r="E148">
        <v>124</v>
      </c>
      <c r="F148">
        <f>E148/D148</f>
        <v>1.0322322855620671</v>
      </c>
      <c r="I148">
        <v>1.5028606256030399</v>
      </c>
    </row>
    <row r="149" spans="2:16" x14ac:dyDescent="0.2">
      <c r="C149">
        <v>71.751999999999995</v>
      </c>
      <c r="I149">
        <v>1.948562805005533</v>
      </c>
      <c r="M149" t="s">
        <v>103</v>
      </c>
      <c r="N149" t="s">
        <v>111</v>
      </c>
      <c r="O149" t="s">
        <v>116</v>
      </c>
      <c r="P149" t="s">
        <v>117</v>
      </c>
    </row>
    <row r="150" spans="2:16" x14ac:dyDescent="0.2">
      <c r="B150">
        <v>3</v>
      </c>
      <c r="C150">
        <v>105.60899999999999</v>
      </c>
      <c r="D150">
        <f>SUM(C150:C151)</f>
        <v>235.11700000000002</v>
      </c>
      <c r="E150">
        <v>346</v>
      </c>
      <c r="F150">
        <f>E150/D150</f>
        <v>1.4716077527358717</v>
      </c>
      <c r="G150">
        <f>AVERAGE(F150,F152)</f>
        <v>1.5028606256030399</v>
      </c>
      <c r="I150">
        <v>1.2413816578242167</v>
      </c>
      <c r="M150">
        <v>1.4886904536380605</v>
      </c>
      <c r="N150">
        <v>1.2471944419968584</v>
      </c>
      <c r="O150">
        <v>1.4099320097747028</v>
      </c>
      <c r="P150">
        <v>1.1260016771418606</v>
      </c>
    </row>
    <row r="151" spans="2:16" x14ac:dyDescent="0.2">
      <c r="C151">
        <v>129.50800000000001</v>
      </c>
      <c r="I151">
        <v>1.4773763247060798</v>
      </c>
      <c r="M151">
        <v>1.1152962121597785</v>
      </c>
      <c r="N151">
        <v>1.3521289825509215</v>
      </c>
      <c r="O151">
        <v>1.2314358401193877</v>
      </c>
      <c r="P151">
        <v>1.0725904090284215</v>
      </c>
    </row>
    <row r="152" spans="2:16" x14ac:dyDescent="0.2">
      <c r="C152">
        <v>142.59200000000001</v>
      </c>
      <c r="D152">
        <f>SUM(C152:C153)</f>
        <v>231.404</v>
      </c>
      <c r="E152">
        <v>355</v>
      </c>
      <c r="F152">
        <f>E152/D152</f>
        <v>1.5341134984702081</v>
      </c>
      <c r="I152">
        <v>1.4780367354906474</v>
      </c>
      <c r="M152">
        <v>1.5028606256030399</v>
      </c>
      <c r="N152">
        <v>1.1235220552440399</v>
      </c>
      <c r="O152">
        <v>1.2185409453749287</v>
      </c>
      <c r="P152">
        <v>0.85967881367095433</v>
      </c>
    </row>
    <row r="153" spans="2:16" x14ac:dyDescent="0.2">
      <c r="C153">
        <v>88.811999999999998</v>
      </c>
      <c r="I153">
        <v>1.7364526974554142</v>
      </c>
      <c r="M153">
        <v>1.948562805005533</v>
      </c>
      <c r="N153">
        <v>1.3157728536411013</v>
      </c>
      <c r="O153">
        <v>1.0693425075975234</v>
      </c>
      <c r="P153">
        <v>0.682450087259865</v>
      </c>
    </row>
    <row r="154" spans="2:16" x14ac:dyDescent="0.2">
      <c r="B154">
        <v>4</v>
      </c>
      <c r="C154">
        <v>91.94</v>
      </c>
      <c r="D154">
        <f>SUM(C154:C155)</f>
        <v>216.39699999999999</v>
      </c>
      <c r="E154">
        <v>457</v>
      </c>
      <c r="F154">
        <f>E154/D154</f>
        <v>2.1118592217082495</v>
      </c>
      <c r="G154">
        <f>AVERAGE(F154,F156)</f>
        <v>1.948562805005533</v>
      </c>
      <c r="I154">
        <v>1.563101002049359</v>
      </c>
      <c r="M154">
        <v>1.2413816578242167</v>
      </c>
      <c r="N154">
        <v>1.6502719645234121</v>
      </c>
      <c r="O154">
        <v>1.3803564735975953</v>
      </c>
      <c r="P154">
        <v>0.81178836813737643</v>
      </c>
    </row>
    <row r="155" spans="2:16" x14ac:dyDescent="0.2">
      <c r="C155">
        <v>124.45699999999999</v>
      </c>
      <c r="I155">
        <v>1.44772564001837</v>
      </c>
      <c r="M155">
        <v>1.4773763247060798</v>
      </c>
      <c r="N155">
        <v>1.3706559160806382</v>
      </c>
      <c r="O155">
        <v>1.3721234116914274</v>
      </c>
      <c r="P155">
        <v>1.0125574496692675</v>
      </c>
    </row>
    <row r="156" spans="2:16" x14ac:dyDescent="0.2">
      <c r="C156">
        <v>146.87100000000001</v>
      </c>
      <c r="D156">
        <f>SUM(C156:C157)</f>
        <v>271.108</v>
      </c>
      <c r="E156">
        <v>484</v>
      </c>
      <c r="F156">
        <f>E156/D156</f>
        <v>1.7852663883028166</v>
      </c>
      <c r="M156">
        <v>1.4780367354906474</v>
      </c>
      <c r="N156">
        <v>0.97672463946507437</v>
      </c>
      <c r="O156">
        <v>1.320052989626689</v>
      </c>
      <c r="P156">
        <v>0.70809448159926358</v>
      </c>
    </row>
    <row r="157" spans="2:16" x14ac:dyDescent="0.2">
      <c r="C157">
        <v>124.23699999999999</v>
      </c>
      <c r="M157">
        <v>1.7364526974554142</v>
      </c>
      <c r="N157">
        <v>1.5214222267836388</v>
      </c>
      <c r="O157">
        <v>1.0752843533554441</v>
      </c>
      <c r="P157">
        <v>0.82996414619418857</v>
      </c>
    </row>
    <row r="158" spans="2:16" x14ac:dyDescent="0.2">
      <c r="B158">
        <v>5</v>
      </c>
      <c r="C158">
        <v>81.478999999999999</v>
      </c>
      <c r="D158">
        <f>SUM(C158:C159)</f>
        <v>167.065</v>
      </c>
      <c r="E158">
        <v>226</v>
      </c>
      <c r="F158">
        <f>E158/D158</f>
        <v>1.352766887139736</v>
      </c>
      <c r="G158">
        <f>AVERAGE(F158,F160)</f>
        <v>1.2413816578242167</v>
      </c>
      <c r="M158">
        <v>1.563101002049359</v>
      </c>
      <c r="N158">
        <v>1.6759261694403416</v>
      </c>
      <c r="O158">
        <v>0.96096780983446695</v>
      </c>
      <c r="P158">
        <v>0.76208763173388339</v>
      </c>
    </row>
    <row r="159" spans="2:16" x14ac:dyDescent="0.2">
      <c r="C159">
        <v>85.585999999999999</v>
      </c>
      <c r="M159">
        <v>1.44772564001837</v>
      </c>
    </row>
    <row r="160" spans="2:16" x14ac:dyDescent="0.2">
      <c r="C160">
        <v>106.807</v>
      </c>
      <c r="D160">
        <f>SUM(C160:C161)</f>
        <v>170.797</v>
      </c>
      <c r="E160">
        <v>193</v>
      </c>
      <c r="F160">
        <f>E160/D160</f>
        <v>1.1299964285086974</v>
      </c>
      <c r="L160" t="s">
        <v>12</v>
      </c>
      <c r="M160" s="3">
        <f>AVERAGE(M150:M159)</f>
        <v>1.4999484153950502</v>
      </c>
      <c r="N160" s="3">
        <f t="shared" ref="N160:P160" si="1">AVERAGE(N150:N159)</f>
        <v>1.3592910277473362</v>
      </c>
      <c r="O160" s="3">
        <f t="shared" si="1"/>
        <v>1.2264484823302406</v>
      </c>
      <c r="P160" s="3">
        <f t="shared" si="1"/>
        <v>0.87391256271500894</v>
      </c>
    </row>
    <row r="161" spans="2:7" x14ac:dyDescent="0.2">
      <c r="C161">
        <v>63.99</v>
      </c>
    </row>
    <row r="162" spans="2:7" x14ac:dyDescent="0.2">
      <c r="B162">
        <v>6</v>
      </c>
      <c r="C162">
        <v>104.09099999999999</v>
      </c>
      <c r="D162">
        <f>SUM(C162:C163)</f>
        <v>200.03199999999998</v>
      </c>
      <c r="E162">
        <v>258</v>
      </c>
      <c r="F162">
        <f>E162/D162</f>
        <v>1.2897936330187172</v>
      </c>
      <c r="G162">
        <f>AVERAGE(F162,F164)</f>
        <v>1.4773763247060798</v>
      </c>
    </row>
    <row r="163" spans="2:7" x14ac:dyDescent="0.2">
      <c r="C163">
        <v>95.941000000000003</v>
      </c>
    </row>
    <row r="164" spans="2:7" x14ac:dyDescent="0.2">
      <c r="C164">
        <v>121.337</v>
      </c>
      <c r="D164">
        <f>SUM(C164:C165)</f>
        <v>203.00800000000001</v>
      </c>
      <c r="E164">
        <v>338</v>
      </c>
      <c r="F164">
        <f>E164/D164</f>
        <v>1.6649590163934425</v>
      </c>
    </row>
    <row r="165" spans="2:7" x14ac:dyDescent="0.2">
      <c r="C165">
        <v>81.671000000000006</v>
      </c>
    </row>
    <row r="166" spans="2:7" x14ac:dyDescent="0.2">
      <c r="B166">
        <v>7</v>
      </c>
      <c r="C166">
        <v>139.10400000000001</v>
      </c>
      <c r="D166">
        <f>SUM(C166:C167)</f>
        <v>268.36099999999999</v>
      </c>
      <c r="E166">
        <v>425</v>
      </c>
      <c r="F166">
        <f>E166/D166</f>
        <v>1.5836876446279453</v>
      </c>
      <c r="G166">
        <f>AVERAGE(F166,F168)</f>
        <v>1.4780367354906474</v>
      </c>
    </row>
    <row r="167" spans="2:7" x14ac:dyDescent="0.2">
      <c r="C167">
        <v>129.25700000000001</v>
      </c>
    </row>
    <row r="168" spans="2:7" x14ac:dyDescent="0.2">
      <c r="C168">
        <v>151.67400000000001</v>
      </c>
      <c r="D168">
        <f>SUM(C168:C169)</f>
        <v>225.88400000000001</v>
      </c>
      <c r="E168">
        <v>310</v>
      </c>
      <c r="F168">
        <f>E168/D168</f>
        <v>1.3723858263533495</v>
      </c>
    </row>
    <row r="169" spans="2:7" x14ac:dyDescent="0.2">
      <c r="C169">
        <v>74.209999999999994</v>
      </c>
    </row>
    <row r="170" spans="2:7" x14ac:dyDescent="0.2">
      <c r="B170">
        <v>8</v>
      </c>
      <c r="C170">
        <v>92.915000000000006</v>
      </c>
      <c r="D170">
        <f>SUM(C170:C171)</f>
        <v>224.3</v>
      </c>
      <c r="E170">
        <v>393</v>
      </c>
      <c r="F170">
        <f>E170/D170</f>
        <v>1.7521176995095853</v>
      </c>
      <c r="G170">
        <f>AVERAGE(F170,F172)</f>
        <v>1.7364526974554142</v>
      </c>
    </row>
    <row r="171" spans="2:7" x14ac:dyDescent="0.2">
      <c r="C171">
        <v>131.38499999999999</v>
      </c>
    </row>
    <row r="172" spans="2:7" x14ac:dyDescent="0.2">
      <c r="C172">
        <v>153.54400000000001</v>
      </c>
      <c r="D172">
        <f>SUM(C172:C173)</f>
        <v>206.88200000000001</v>
      </c>
      <c r="E172">
        <v>356</v>
      </c>
      <c r="F172">
        <f>E172/D172</f>
        <v>1.7207876954012431</v>
      </c>
    </row>
    <row r="173" spans="2:7" x14ac:dyDescent="0.2">
      <c r="C173">
        <v>53.338000000000001</v>
      </c>
    </row>
    <row r="174" spans="2:7" x14ac:dyDescent="0.2">
      <c r="B174">
        <v>9</v>
      </c>
      <c r="C174">
        <v>119.709</v>
      </c>
      <c r="D174">
        <f>SUM(C174:C175)</f>
        <v>253.88499999999999</v>
      </c>
      <c r="E174">
        <v>417</v>
      </c>
      <c r="F174">
        <f>E174/D174</f>
        <v>1.6424759241388818</v>
      </c>
      <c r="G174">
        <f>AVERAGE(F174,F176)</f>
        <v>1.563101002049359</v>
      </c>
    </row>
    <row r="175" spans="2:7" x14ac:dyDescent="0.2">
      <c r="C175">
        <v>134.17599999999999</v>
      </c>
    </row>
    <row r="176" spans="2:7" x14ac:dyDescent="0.2">
      <c r="C176">
        <v>112.92400000000001</v>
      </c>
      <c r="D176">
        <f>SUM(C176:C177)</f>
        <v>223.08699999999999</v>
      </c>
      <c r="E176">
        <v>331</v>
      </c>
      <c r="F176">
        <f>E176/D176</f>
        <v>1.4837260799598364</v>
      </c>
    </row>
    <row r="177" spans="2:9" x14ac:dyDescent="0.2">
      <c r="C177">
        <v>110.163</v>
      </c>
    </row>
    <row r="178" spans="2:9" x14ac:dyDescent="0.2">
      <c r="B178">
        <v>10</v>
      </c>
      <c r="C178">
        <v>182.43299999999999</v>
      </c>
      <c r="D178">
        <f>SUM(C178:C179)</f>
        <v>351.214</v>
      </c>
      <c r="E178">
        <v>531</v>
      </c>
      <c r="F178">
        <f>E178/D178</f>
        <v>1.5118987284105987</v>
      </c>
      <c r="G178">
        <f>AVERAGE(F178,F180)</f>
        <v>1.44772564001837</v>
      </c>
    </row>
    <row r="179" spans="2:9" x14ac:dyDescent="0.2">
      <c r="C179">
        <v>168.78100000000001</v>
      </c>
    </row>
    <row r="180" spans="2:9" x14ac:dyDescent="0.2">
      <c r="C180">
        <v>183.91399999999999</v>
      </c>
      <c r="D180">
        <f>SUM(C180:C181)</f>
        <v>320.91300000000001</v>
      </c>
      <c r="E180">
        <v>444</v>
      </c>
      <c r="F180">
        <f>E180/D180</f>
        <v>1.3835525516261415</v>
      </c>
    </row>
    <row r="181" spans="2:9" x14ac:dyDescent="0.2">
      <c r="C181">
        <v>136.999</v>
      </c>
    </row>
    <row r="183" spans="2:9" x14ac:dyDescent="0.2">
      <c r="B183" t="s">
        <v>111</v>
      </c>
    </row>
    <row r="184" spans="2:9" x14ac:dyDescent="0.2">
      <c r="B184">
        <v>1</v>
      </c>
      <c r="C184">
        <v>77.869</v>
      </c>
      <c r="D184">
        <f>SUM(C184:C185)</f>
        <v>149.733</v>
      </c>
      <c r="E184">
        <v>199</v>
      </c>
      <c r="F184">
        <f>E184/D184</f>
        <v>1.3290323442394127</v>
      </c>
      <c r="G184">
        <f>AVERAGE(F184,F186)</f>
        <v>1.2471944419968584</v>
      </c>
    </row>
    <row r="185" spans="2:9" x14ac:dyDescent="0.2">
      <c r="C185">
        <v>71.864000000000004</v>
      </c>
    </row>
    <row r="186" spans="2:9" x14ac:dyDescent="0.2">
      <c r="C186">
        <v>112.67400000000001</v>
      </c>
      <c r="D186">
        <f>SUM(C186:C187)</f>
        <v>185.351</v>
      </c>
      <c r="E186">
        <v>216</v>
      </c>
      <c r="F186">
        <f>E186/D186</f>
        <v>1.165356539754304</v>
      </c>
    </row>
    <row r="187" spans="2:9" x14ac:dyDescent="0.2">
      <c r="C187">
        <v>72.677000000000007</v>
      </c>
    </row>
    <row r="188" spans="2:9" x14ac:dyDescent="0.2">
      <c r="B188">
        <v>2</v>
      </c>
      <c r="C188">
        <v>104.41200000000001</v>
      </c>
      <c r="D188">
        <f>SUM(C188:C189)</f>
        <v>208.41300000000001</v>
      </c>
      <c r="E188">
        <v>274</v>
      </c>
      <c r="F188">
        <f>E188/D188</f>
        <v>1.3146972597678648</v>
      </c>
      <c r="G188">
        <f>AVERAGE(F188,F190)</f>
        <v>1.3521289825509215</v>
      </c>
    </row>
    <row r="189" spans="2:9" x14ac:dyDescent="0.2">
      <c r="C189">
        <v>104.001</v>
      </c>
    </row>
    <row r="190" spans="2:9" x14ac:dyDescent="0.2">
      <c r="C190">
        <v>63.692999999999998</v>
      </c>
      <c r="D190">
        <f>SUM(C190:C191)</f>
        <v>113.705</v>
      </c>
      <c r="E190">
        <v>158</v>
      </c>
      <c r="F190">
        <f>E190/D190</f>
        <v>1.3895607053339782</v>
      </c>
    </row>
    <row r="191" spans="2:9" x14ac:dyDescent="0.2">
      <c r="C191">
        <v>50.012</v>
      </c>
    </row>
    <row r="192" spans="2:9" x14ac:dyDescent="0.2">
      <c r="B192">
        <v>3</v>
      </c>
      <c r="C192">
        <v>134.52799999999999</v>
      </c>
      <c r="D192">
        <f>SUM(C192:C193)</f>
        <v>230.85199999999998</v>
      </c>
      <c r="E192">
        <v>240</v>
      </c>
      <c r="F192">
        <f>E192/D192</f>
        <v>1.0396271204061478</v>
      </c>
      <c r="G192">
        <f>AVERAGE(F192,F194)</f>
        <v>1.1235220552440399</v>
      </c>
      <c r="I192">
        <v>1.2471944419968584</v>
      </c>
    </row>
    <row r="193" spans="2:9" x14ac:dyDescent="0.2">
      <c r="C193">
        <v>96.323999999999998</v>
      </c>
      <c r="I193">
        <v>1.3521289825509215</v>
      </c>
    </row>
    <row r="194" spans="2:9" x14ac:dyDescent="0.2">
      <c r="C194">
        <v>94.456000000000003</v>
      </c>
      <c r="D194">
        <f>SUM(C194:C195)</f>
        <v>150.73500000000001</v>
      </c>
      <c r="E194">
        <v>182</v>
      </c>
      <c r="F194">
        <f>E194/D194</f>
        <v>1.2074169900819318</v>
      </c>
      <c r="I194">
        <v>1.1235220552440399</v>
      </c>
    </row>
    <row r="195" spans="2:9" x14ac:dyDescent="0.2">
      <c r="C195">
        <v>56.279000000000003</v>
      </c>
      <c r="I195">
        <v>1.3157728536411013</v>
      </c>
    </row>
    <row r="196" spans="2:9" x14ac:dyDescent="0.2">
      <c r="B196">
        <v>4</v>
      </c>
      <c r="C196">
        <v>83.341999999999999</v>
      </c>
      <c r="D196">
        <f>SUM(C196:C197)</f>
        <v>193.90800000000002</v>
      </c>
      <c r="E196">
        <v>258</v>
      </c>
      <c r="F196">
        <f>E196/D196</f>
        <v>1.3305278792004456</v>
      </c>
      <c r="G196">
        <f>AVERAGE(F196,F198)</f>
        <v>1.3157728536411013</v>
      </c>
      <c r="I196">
        <v>1.6502719645234121</v>
      </c>
    </row>
    <row r="197" spans="2:9" x14ac:dyDescent="0.2">
      <c r="C197">
        <v>110.566</v>
      </c>
      <c r="I197">
        <v>1.3706559160806382</v>
      </c>
    </row>
    <row r="198" spans="2:9" x14ac:dyDescent="0.2">
      <c r="C198">
        <v>111.369</v>
      </c>
      <c r="D198">
        <f>SUM(C198:C199)</f>
        <v>217.52199999999999</v>
      </c>
      <c r="E198">
        <v>283</v>
      </c>
      <c r="F198">
        <f>E198/D198</f>
        <v>1.3010178280817573</v>
      </c>
      <c r="I198">
        <v>0.97672463946507437</v>
      </c>
    </row>
    <row r="199" spans="2:9" x14ac:dyDescent="0.2">
      <c r="C199">
        <v>106.15300000000001</v>
      </c>
      <c r="I199">
        <v>1.5214222267836388</v>
      </c>
    </row>
    <row r="200" spans="2:9" x14ac:dyDescent="0.2">
      <c r="B200">
        <v>5</v>
      </c>
      <c r="C200">
        <v>133.16</v>
      </c>
      <c r="D200">
        <f>SUM(C200:C201)</f>
        <v>207.07999999999998</v>
      </c>
      <c r="E200">
        <v>348</v>
      </c>
      <c r="F200">
        <f>E200/D200</f>
        <v>1.6805099478462431</v>
      </c>
      <c r="G200">
        <f>AVERAGE(F200,F202)</f>
        <v>1.6502719645234121</v>
      </c>
      <c r="I200">
        <v>1.6759261694403416</v>
      </c>
    </row>
    <row r="201" spans="2:9" x14ac:dyDescent="0.2">
      <c r="C201">
        <v>73.92</v>
      </c>
    </row>
    <row r="202" spans="2:9" x14ac:dyDescent="0.2">
      <c r="C202">
        <v>84.194000000000003</v>
      </c>
      <c r="D202">
        <f>SUM(C202:C203)</f>
        <v>227.77300000000002</v>
      </c>
      <c r="E202">
        <v>369</v>
      </c>
      <c r="F202">
        <f>E202/D202</f>
        <v>1.6200339812005811</v>
      </c>
    </row>
    <row r="203" spans="2:9" x14ac:dyDescent="0.2">
      <c r="C203">
        <v>143.57900000000001</v>
      </c>
    </row>
    <row r="204" spans="2:9" x14ac:dyDescent="0.2">
      <c r="B204">
        <v>6</v>
      </c>
      <c r="C204">
        <v>101.935</v>
      </c>
      <c r="D204">
        <f>SUM(C204:C205)</f>
        <v>185.732</v>
      </c>
      <c r="E204">
        <v>248</v>
      </c>
      <c r="F204">
        <f>E204/D204</f>
        <v>1.3352572523851571</v>
      </c>
      <c r="G204">
        <f>AVERAGE(F204,F206)</f>
        <v>1.3706559160806382</v>
      </c>
    </row>
    <row r="205" spans="2:9" x14ac:dyDescent="0.2">
      <c r="C205">
        <v>83.796999999999997</v>
      </c>
    </row>
    <row r="206" spans="2:9" x14ac:dyDescent="0.2">
      <c r="C206">
        <v>145.26300000000001</v>
      </c>
      <c r="D206">
        <f>SUM(C206:C207)</f>
        <v>257.45799999999997</v>
      </c>
      <c r="E206">
        <v>362</v>
      </c>
      <c r="F206">
        <f>E206/D206</f>
        <v>1.406054579776119</v>
      </c>
    </row>
    <row r="207" spans="2:9" x14ac:dyDescent="0.2">
      <c r="C207">
        <v>112.19499999999999</v>
      </c>
    </row>
    <row r="208" spans="2:9" x14ac:dyDescent="0.2">
      <c r="B208">
        <v>7</v>
      </c>
      <c r="C208">
        <v>172.738</v>
      </c>
      <c r="D208">
        <f>SUM(C208:C209)</f>
        <v>302.34699999999998</v>
      </c>
      <c r="E208">
        <v>361</v>
      </c>
      <c r="F208">
        <f>E208/D208</f>
        <v>1.1939923333123861</v>
      </c>
      <c r="G208">
        <f>AVERAGE(F208,F210)</f>
        <v>0.97672463946507437</v>
      </c>
    </row>
    <row r="209" spans="2:7" x14ac:dyDescent="0.2">
      <c r="C209">
        <v>129.60900000000001</v>
      </c>
    </row>
    <row r="210" spans="2:7" x14ac:dyDescent="0.2">
      <c r="C210">
        <v>155.631</v>
      </c>
      <c r="D210">
        <f>SUM(C210:C211)</f>
        <v>234.37799999999999</v>
      </c>
      <c r="E210">
        <v>178</v>
      </c>
      <c r="F210">
        <f>E210/D210</f>
        <v>0.75945694561776278</v>
      </c>
    </row>
    <row r="211" spans="2:7" x14ac:dyDescent="0.2">
      <c r="C211">
        <v>78.747</v>
      </c>
    </row>
    <row r="212" spans="2:7" x14ac:dyDescent="0.2">
      <c r="B212">
        <v>8</v>
      </c>
      <c r="C212">
        <v>95.863</v>
      </c>
      <c r="D212">
        <f>SUM(C212:C213)</f>
        <v>215.34699999999998</v>
      </c>
      <c r="E212">
        <v>298</v>
      </c>
      <c r="F212">
        <f>E212/D212</f>
        <v>1.3838131016452517</v>
      </c>
      <c r="G212">
        <f>AVERAGE(F212,F214)</f>
        <v>1.5214222267836388</v>
      </c>
    </row>
    <row r="213" spans="2:7" x14ac:dyDescent="0.2">
      <c r="C213">
        <v>119.48399999999999</v>
      </c>
    </row>
    <row r="214" spans="2:7" x14ac:dyDescent="0.2">
      <c r="C214">
        <v>84.004999999999995</v>
      </c>
      <c r="D214">
        <f>SUM(C214:C215)</f>
        <v>159.12899999999999</v>
      </c>
      <c r="E214">
        <v>264</v>
      </c>
      <c r="F214">
        <f>E214/D214</f>
        <v>1.6590313519220257</v>
      </c>
    </row>
    <row r="215" spans="2:7" x14ac:dyDescent="0.2">
      <c r="C215">
        <v>75.123999999999995</v>
      </c>
    </row>
    <row r="216" spans="2:7" x14ac:dyDescent="0.2">
      <c r="B216">
        <v>9</v>
      </c>
      <c r="C216">
        <v>96.254999999999995</v>
      </c>
      <c r="D216">
        <f>SUM(C216:C217)</f>
        <v>170.03800000000001</v>
      </c>
      <c r="E216">
        <v>309</v>
      </c>
      <c r="F216">
        <f>E216/D216</f>
        <v>1.8172408520448369</v>
      </c>
      <c r="G216">
        <f>AVERAGE(F216,F218)</f>
        <v>1.6759261694403416</v>
      </c>
    </row>
    <row r="217" spans="2:7" x14ac:dyDescent="0.2">
      <c r="C217">
        <v>73.783000000000001</v>
      </c>
    </row>
    <row r="218" spans="2:7" x14ac:dyDescent="0.2">
      <c r="C218">
        <v>106.842</v>
      </c>
      <c r="D218">
        <f>SUM(C218:C219)</f>
        <v>241.755</v>
      </c>
      <c r="E218">
        <v>371</v>
      </c>
      <c r="F218">
        <f>E218/D218</f>
        <v>1.5346114868358463</v>
      </c>
    </row>
    <row r="219" spans="2:7" x14ac:dyDescent="0.2">
      <c r="C219">
        <v>134.91300000000001</v>
      </c>
    </row>
    <row r="221" spans="2:7" x14ac:dyDescent="0.2">
      <c r="B221" t="s">
        <v>116</v>
      </c>
    </row>
    <row r="222" spans="2:7" x14ac:dyDescent="0.2">
      <c r="B222">
        <v>1</v>
      </c>
      <c r="C222">
        <v>106.855</v>
      </c>
      <c r="D222">
        <f>SUM(C222:C223)</f>
        <v>174.89500000000001</v>
      </c>
      <c r="E222">
        <v>245</v>
      </c>
      <c r="F222">
        <f>E222/D222</f>
        <v>1.4008405043025816</v>
      </c>
      <c r="G222">
        <f>AVERAGE(F222,F224)</f>
        <v>1.4099320097747028</v>
      </c>
    </row>
    <row r="223" spans="2:7" x14ac:dyDescent="0.2">
      <c r="C223">
        <v>68.040000000000006</v>
      </c>
    </row>
    <row r="224" spans="2:7" x14ac:dyDescent="0.2">
      <c r="C224">
        <v>108.218</v>
      </c>
      <c r="D224">
        <f>SUM(C224:C225)</f>
        <v>162.78800000000001</v>
      </c>
      <c r="E224">
        <v>231</v>
      </c>
      <c r="F224">
        <f>E224/D224</f>
        <v>1.419023515246824</v>
      </c>
    </row>
    <row r="225" spans="2:9" x14ac:dyDescent="0.2">
      <c r="C225">
        <v>54.57</v>
      </c>
    </row>
    <row r="226" spans="2:9" x14ac:dyDescent="0.2">
      <c r="B226">
        <v>2</v>
      </c>
      <c r="C226">
        <v>104.244</v>
      </c>
      <c r="D226">
        <f>SUM(C226:C227)</f>
        <v>136.61000000000001</v>
      </c>
      <c r="E226">
        <v>156</v>
      </c>
      <c r="F226">
        <f>E226/D226</f>
        <v>1.1419369006661297</v>
      </c>
      <c r="G226">
        <f>AVERAGE(F226,F228)</f>
        <v>1.2314358401193877</v>
      </c>
    </row>
    <row r="227" spans="2:9" x14ac:dyDescent="0.2">
      <c r="C227">
        <v>32.366</v>
      </c>
    </row>
    <row r="228" spans="2:9" x14ac:dyDescent="0.2">
      <c r="C228">
        <v>101.133</v>
      </c>
      <c r="D228">
        <f>SUM(C228:C229)</f>
        <v>171.84800000000001</v>
      </c>
      <c r="E228">
        <v>227</v>
      </c>
      <c r="F228">
        <f>E228/D228</f>
        <v>1.3209347795726456</v>
      </c>
    </row>
    <row r="229" spans="2:9" x14ac:dyDescent="0.2">
      <c r="C229">
        <v>70.715000000000003</v>
      </c>
      <c r="I229">
        <v>1.4099320097747028</v>
      </c>
    </row>
    <row r="230" spans="2:9" x14ac:dyDescent="0.2">
      <c r="B230">
        <v>3</v>
      </c>
      <c r="C230">
        <v>109.589</v>
      </c>
      <c r="D230">
        <f>SUM(C230:C231)</f>
        <v>201.39</v>
      </c>
      <c r="E230">
        <v>270</v>
      </c>
      <c r="F230">
        <f>E230/D230</f>
        <v>1.3406822583047819</v>
      </c>
      <c r="G230">
        <f>AVERAGE(F230,F232)</f>
        <v>1.2185409453749287</v>
      </c>
      <c r="I230">
        <v>1.2314358401193877</v>
      </c>
    </row>
    <row r="231" spans="2:9" x14ac:dyDescent="0.2">
      <c r="C231">
        <v>91.801000000000002</v>
      </c>
      <c r="I231">
        <v>1.2185409453749287</v>
      </c>
    </row>
    <row r="232" spans="2:9" x14ac:dyDescent="0.2">
      <c r="C232">
        <v>91.007000000000005</v>
      </c>
      <c r="D232">
        <f>SUM(C232:C233)</f>
        <v>191.536</v>
      </c>
      <c r="E232">
        <v>210</v>
      </c>
      <c r="F232">
        <f>E232/D232</f>
        <v>1.0963996324450755</v>
      </c>
      <c r="I232">
        <v>1.0693425075975234</v>
      </c>
    </row>
    <row r="233" spans="2:9" x14ac:dyDescent="0.2">
      <c r="C233">
        <v>100.529</v>
      </c>
      <c r="I233">
        <v>1.3803564735975953</v>
      </c>
    </row>
    <row r="234" spans="2:9" x14ac:dyDescent="0.2">
      <c r="B234">
        <v>4</v>
      </c>
      <c r="C234">
        <v>67.308999999999997</v>
      </c>
      <c r="D234">
        <f>SUM(C234:C235)</f>
        <v>215.38399999999999</v>
      </c>
      <c r="E234">
        <v>225</v>
      </c>
      <c r="F234">
        <f>E234/D234</f>
        <v>1.0446458418452624</v>
      </c>
      <c r="G234">
        <f>AVERAGE(F234,F236)</f>
        <v>1.0693425075975234</v>
      </c>
      <c r="I234">
        <v>1.3721234116914274</v>
      </c>
    </row>
    <row r="235" spans="2:9" x14ac:dyDescent="0.2">
      <c r="C235">
        <v>148.07499999999999</v>
      </c>
      <c r="I235">
        <v>1.320052989626689</v>
      </c>
    </row>
    <row r="236" spans="2:9" x14ac:dyDescent="0.2">
      <c r="C236">
        <v>95.450999999999993</v>
      </c>
      <c r="D236">
        <f>SUM(C236:C237)</f>
        <v>207.488</v>
      </c>
      <c r="E236">
        <v>227</v>
      </c>
      <c r="F236">
        <f>E236/D236</f>
        <v>1.0940391733497841</v>
      </c>
      <c r="I236">
        <v>1.0752843533554441</v>
      </c>
    </row>
    <row r="237" spans="2:9" x14ac:dyDescent="0.2">
      <c r="C237">
        <v>112.03700000000001</v>
      </c>
      <c r="I237">
        <v>0.96096780983446695</v>
      </c>
    </row>
    <row r="238" spans="2:9" x14ac:dyDescent="0.2">
      <c r="B238">
        <v>5</v>
      </c>
      <c r="C238">
        <v>153.03399999999999</v>
      </c>
      <c r="D238">
        <f>SUM(C238:C239)</f>
        <v>224.28299999999999</v>
      </c>
      <c r="E238">
        <v>247</v>
      </c>
      <c r="F238">
        <f>E238/D238</f>
        <v>1.1012872130299667</v>
      </c>
      <c r="G238">
        <f>AVERAGE(F238,F240)</f>
        <v>1.3803564735975953</v>
      </c>
    </row>
    <row r="239" spans="2:9" x14ac:dyDescent="0.2">
      <c r="C239">
        <v>71.248999999999995</v>
      </c>
    </row>
    <row r="240" spans="2:9" x14ac:dyDescent="0.2">
      <c r="C240">
        <v>102.309</v>
      </c>
      <c r="D240">
        <f>SUM(C240:C241)</f>
        <v>153.065</v>
      </c>
      <c r="E240">
        <v>254</v>
      </c>
      <c r="F240">
        <f>E240/D240</f>
        <v>1.6594257341652239</v>
      </c>
    </row>
    <row r="241" spans="2:7" x14ac:dyDescent="0.2">
      <c r="C241">
        <v>50.756</v>
      </c>
    </row>
    <row r="242" spans="2:7" x14ac:dyDescent="0.2">
      <c r="B242">
        <v>6</v>
      </c>
      <c r="C242">
        <v>124.55200000000001</v>
      </c>
      <c r="D242">
        <f>SUM(C242:C243)</f>
        <v>204.33</v>
      </c>
      <c r="E242">
        <v>286</v>
      </c>
      <c r="F242">
        <f>E242/D242</f>
        <v>1.3996965692751919</v>
      </c>
      <c r="G242">
        <f>AVERAGE(F242,F244)</f>
        <v>1.3721234116914274</v>
      </c>
    </row>
    <row r="243" spans="2:7" x14ac:dyDescent="0.2">
      <c r="C243">
        <v>79.778000000000006</v>
      </c>
    </row>
    <row r="244" spans="2:7" x14ac:dyDescent="0.2">
      <c r="C244">
        <v>121.605</v>
      </c>
      <c r="D244">
        <f>SUM(C244:C245)</f>
        <v>162.136</v>
      </c>
      <c r="E244">
        <v>218</v>
      </c>
      <c r="F244">
        <f>E244/D244</f>
        <v>1.3445502541076628</v>
      </c>
    </row>
    <row r="245" spans="2:7" x14ac:dyDescent="0.2">
      <c r="C245">
        <v>40.530999999999999</v>
      </c>
    </row>
    <row r="246" spans="2:7" x14ac:dyDescent="0.2">
      <c r="B246">
        <v>7</v>
      </c>
      <c r="C246">
        <v>124.099</v>
      </c>
      <c r="D246">
        <f>SUM(C246:C247)</f>
        <v>252.72899999999998</v>
      </c>
      <c r="E246">
        <v>359</v>
      </c>
      <c r="F246">
        <f>E246/D246</f>
        <v>1.4204938887108327</v>
      </c>
      <c r="G246">
        <f>AVERAGE(F246,F248)</f>
        <v>1.320052989626689</v>
      </c>
    </row>
    <row r="247" spans="2:7" x14ac:dyDescent="0.2">
      <c r="C247">
        <v>128.63</v>
      </c>
    </row>
    <row r="248" spans="2:7" x14ac:dyDescent="0.2">
      <c r="C248">
        <v>97.846000000000004</v>
      </c>
      <c r="D248">
        <f>SUM(C248:C249)</f>
        <v>219.74200000000002</v>
      </c>
      <c r="E248">
        <v>268</v>
      </c>
      <c r="F248">
        <f>E248/D248</f>
        <v>1.2196120905425452</v>
      </c>
    </row>
    <row r="249" spans="2:7" x14ac:dyDescent="0.2">
      <c r="C249">
        <v>121.896</v>
      </c>
    </row>
    <row r="250" spans="2:7" x14ac:dyDescent="0.2">
      <c r="B250">
        <v>8</v>
      </c>
      <c r="C250">
        <v>114.93899999999999</v>
      </c>
      <c r="D250">
        <f>SUM(C250:C251)</f>
        <v>214.97899999999998</v>
      </c>
      <c r="E250">
        <v>228</v>
      </c>
      <c r="F250">
        <f>E250/D250</f>
        <v>1.0605687067108882</v>
      </c>
      <c r="G250">
        <f>AVERAGE(F250,F252)</f>
        <v>1.0752843533554441</v>
      </c>
    </row>
    <row r="251" spans="2:7" x14ac:dyDescent="0.2">
      <c r="C251">
        <v>100.04</v>
      </c>
    </row>
    <row r="252" spans="2:7" x14ac:dyDescent="0.2">
      <c r="C252">
        <v>114.59399999999999</v>
      </c>
      <c r="D252">
        <f>SUM(C252:C253)</f>
        <v>200</v>
      </c>
      <c r="E252">
        <v>218</v>
      </c>
      <c r="F252">
        <f>E252/D252</f>
        <v>1.0900000000000001</v>
      </c>
    </row>
    <row r="253" spans="2:7" x14ac:dyDescent="0.2">
      <c r="C253">
        <v>85.406000000000006</v>
      </c>
    </row>
    <row r="254" spans="2:7" x14ac:dyDescent="0.2">
      <c r="B254">
        <v>9</v>
      </c>
      <c r="C254">
        <v>97.034000000000006</v>
      </c>
      <c r="D254">
        <f>SUM(C254:C255)</f>
        <v>217.298</v>
      </c>
      <c r="E254">
        <v>219</v>
      </c>
      <c r="F254">
        <f>E254/D254</f>
        <v>1.0078325617354968</v>
      </c>
      <c r="G254">
        <f>AVERAGE(F254,F256)</f>
        <v>0.96096780983446695</v>
      </c>
    </row>
    <row r="255" spans="2:7" x14ac:dyDescent="0.2">
      <c r="C255">
        <v>120.264</v>
      </c>
    </row>
    <row r="256" spans="2:7" x14ac:dyDescent="0.2">
      <c r="C256">
        <v>82.366</v>
      </c>
      <c r="D256">
        <f>SUM(C256:C257)</f>
        <v>173.941</v>
      </c>
      <c r="E256">
        <v>159</v>
      </c>
      <c r="F256">
        <f>E256/D256</f>
        <v>0.91410305793343716</v>
      </c>
    </row>
    <row r="257" spans="2:9" x14ac:dyDescent="0.2">
      <c r="C257">
        <v>91.575000000000003</v>
      </c>
    </row>
    <row r="259" spans="2:9" x14ac:dyDescent="0.2">
      <c r="B259" t="s">
        <v>117</v>
      </c>
    </row>
    <row r="260" spans="2:9" x14ac:dyDescent="0.2">
      <c r="B260">
        <v>1</v>
      </c>
      <c r="C260">
        <v>105.66800000000001</v>
      </c>
      <c r="D260">
        <f>SUM(C260:C261)</f>
        <v>156.84399999999999</v>
      </c>
      <c r="E260">
        <v>177</v>
      </c>
      <c r="F260">
        <f>E260/D260</f>
        <v>1.1285098569279028</v>
      </c>
      <c r="G260">
        <f>AVERAGE(F260,F262)</f>
        <v>1.1260016771418606</v>
      </c>
    </row>
    <row r="261" spans="2:9" x14ac:dyDescent="0.2">
      <c r="C261">
        <v>51.176000000000002</v>
      </c>
    </row>
    <row r="262" spans="2:9" x14ac:dyDescent="0.2">
      <c r="C262">
        <v>103.94199999999999</v>
      </c>
      <c r="D262">
        <f>SUM(C262:C263)</f>
        <v>176.23599999999999</v>
      </c>
      <c r="E262">
        <v>198</v>
      </c>
      <c r="F262">
        <f>E262/D262</f>
        <v>1.1234934973558184</v>
      </c>
    </row>
    <row r="263" spans="2:9" x14ac:dyDescent="0.2">
      <c r="C263">
        <v>72.293999999999997</v>
      </c>
    </row>
    <row r="264" spans="2:9" x14ac:dyDescent="0.2">
      <c r="B264">
        <v>2</v>
      </c>
      <c r="C264">
        <v>91.808999999999997</v>
      </c>
      <c r="D264">
        <f>SUM(C264:C265)</f>
        <v>147.01999999999998</v>
      </c>
      <c r="E264">
        <v>160</v>
      </c>
      <c r="F264">
        <f>E264/D264</f>
        <v>1.0882873078492723</v>
      </c>
      <c r="G264">
        <f>AVERAGE(F264,F266)</f>
        <v>1.0725904090284215</v>
      </c>
    </row>
    <row r="265" spans="2:9" x14ac:dyDescent="0.2">
      <c r="C265">
        <v>55.210999999999999</v>
      </c>
      <c r="I265">
        <v>1.1260016771418606</v>
      </c>
    </row>
    <row r="266" spans="2:9" x14ac:dyDescent="0.2">
      <c r="C266">
        <v>75.884</v>
      </c>
      <c r="D266">
        <f>SUM(C266:C267)</f>
        <v>128.679</v>
      </c>
      <c r="E266">
        <v>136</v>
      </c>
      <c r="F266">
        <f>E266/D266</f>
        <v>1.0568935102075707</v>
      </c>
      <c r="I266">
        <v>1.0725904090284215</v>
      </c>
    </row>
    <row r="267" spans="2:9" x14ac:dyDescent="0.2">
      <c r="C267">
        <v>52.795000000000002</v>
      </c>
      <c r="I267">
        <v>0.85967881367095433</v>
      </c>
    </row>
    <row r="268" spans="2:9" x14ac:dyDescent="0.2">
      <c r="B268">
        <v>3</v>
      </c>
      <c r="C268">
        <v>108.306</v>
      </c>
      <c r="D268">
        <f>SUM(C268:C269)</f>
        <v>176.89600000000002</v>
      </c>
      <c r="E268">
        <v>121</v>
      </c>
      <c r="F268">
        <f>E268/D268</f>
        <v>0.68401772793053539</v>
      </c>
      <c r="G268">
        <f>AVERAGE(F268,F270)</f>
        <v>0.85967881367095433</v>
      </c>
      <c r="I268">
        <v>0.682450087259865</v>
      </c>
    </row>
    <row r="269" spans="2:9" x14ac:dyDescent="0.2">
      <c r="C269">
        <v>68.59</v>
      </c>
      <c r="I269">
        <v>0.81178836813737643</v>
      </c>
    </row>
    <row r="270" spans="2:9" x14ac:dyDescent="0.2">
      <c r="C270">
        <v>111.629</v>
      </c>
      <c r="D270">
        <f>SUM(C270:C271)</f>
        <v>224.08100000000002</v>
      </c>
      <c r="E270">
        <v>232</v>
      </c>
      <c r="F270">
        <f>E270/D270</f>
        <v>1.0353398994113734</v>
      </c>
      <c r="I270">
        <v>1.0125574496692675</v>
      </c>
    </row>
    <row r="271" spans="2:9" x14ac:dyDescent="0.2">
      <c r="C271">
        <v>112.452</v>
      </c>
      <c r="I271">
        <v>0.70809448159926358</v>
      </c>
    </row>
    <row r="272" spans="2:9" x14ac:dyDescent="0.2">
      <c r="B272">
        <v>4</v>
      </c>
      <c r="C272">
        <v>132.328</v>
      </c>
      <c r="D272">
        <f>SUM(C272:C273)</f>
        <v>254.23400000000001</v>
      </c>
      <c r="E272">
        <v>169</v>
      </c>
      <c r="F272">
        <f>E272/D272</f>
        <v>0.66474193066230325</v>
      </c>
      <c r="G272">
        <f>AVERAGE(F272,F274)</f>
        <v>0.682450087259865</v>
      </c>
      <c r="I272">
        <v>0.82996414619418857</v>
      </c>
    </row>
    <row r="273" spans="2:9" x14ac:dyDescent="0.2">
      <c r="C273">
        <v>121.90600000000001</v>
      </c>
      <c r="I273">
        <v>0.76208763173388339</v>
      </c>
    </row>
    <row r="274" spans="2:9" x14ac:dyDescent="0.2">
      <c r="C274">
        <v>100.574</v>
      </c>
      <c r="D274">
        <f>SUM(C274:C275)</f>
        <v>247.08699999999999</v>
      </c>
      <c r="E274">
        <v>173</v>
      </c>
      <c r="F274">
        <f>E274/D274</f>
        <v>0.70015824385742675</v>
      </c>
    </row>
    <row r="275" spans="2:9" x14ac:dyDescent="0.2">
      <c r="C275">
        <v>146.51300000000001</v>
      </c>
    </row>
    <row r="276" spans="2:9" x14ac:dyDescent="0.2">
      <c r="B276">
        <v>5</v>
      </c>
      <c r="C276">
        <v>94.820999999999998</v>
      </c>
      <c r="D276">
        <f>SUM(C276:C277)</f>
        <v>185.494</v>
      </c>
      <c r="E276">
        <v>158</v>
      </c>
      <c r="F276">
        <f>E276/D276</f>
        <v>0.85177957238509061</v>
      </c>
      <c r="G276">
        <f>AVERAGE(F276,F278)</f>
        <v>0.81178836813737643</v>
      </c>
    </row>
    <row r="277" spans="2:9" x14ac:dyDescent="0.2">
      <c r="C277">
        <v>90.673000000000002</v>
      </c>
    </row>
    <row r="278" spans="2:9" x14ac:dyDescent="0.2">
      <c r="C278">
        <v>114.05800000000001</v>
      </c>
      <c r="D278">
        <f>SUM(C278:C279)</f>
        <v>204.71700000000001</v>
      </c>
      <c r="E278">
        <v>158</v>
      </c>
      <c r="F278">
        <f>E278/D278</f>
        <v>0.77179716388966224</v>
      </c>
    </row>
    <row r="279" spans="2:9" x14ac:dyDescent="0.2">
      <c r="C279">
        <v>90.659000000000006</v>
      </c>
    </row>
    <row r="280" spans="2:9" x14ac:dyDescent="0.2">
      <c r="B280">
        <v>6</v>
      </c>
      <c r="C280">
        <v>71.52</v>
      </c>
      <c r="D280">
        <f>SUM(C280:C281)</f>
        <v>149.86699999999999</v>
      </c>
      <c r="E280">
        <v>122</v>
      </c>
      <c r="F280">
        <f>E280/D280</f>
        <v>0.81405512888094111</v>
      </c>
      <c r="G280">
        <f>AVERAGE(F280,F282)</f>
        <v>1.0125574496692675</v>
      </c>
    </row>
    <row r="281" spans="2:9" x14ac:dyDescent="0.2">
      <c r="C281">
        <v>78.346999999999994</v>
      </c>
    </row>
    <row r="282" spans="2:9" x14ac:dyDescent="0.2">
      <c r="C282">
        <v>90.438000000000002</v>
      </c>
      <c r="D282">
        <f>SUM(C282:C283)</f>
        <v>161.01600000000002</v>
      </c>
      <c r="E282">
        <v>195</v>
      </c>
      <c r="F282">
        <f>E282/D282</f>
        <v>1.2110597704575941</v>
      </c>
    </row>
    <row r="283" spans="2:9" x14ac:dyDescent="0.2">
      <c r="C283">
        <v>70.578000000000003</v>
      </c>
    </row>
    <row r="284" spans="2:9" x14ac:dyDescent="0.2">
      <c r="B284">
        <v>7</v>
      </c>
      <c r="C284">
        <v>155.71600000000001</v>
      </c>
      <c r="D284">
        <f>SUM(C284:C285)</f>
        <v>281.02100000000002</v>
      </c>
      <c r="E284">
        <v>187</v>
      </c>
      <c r="F284">
        <f>E284/D284</f>
        <v>0.66543069735002003</v>
      </c>
      <c r="G284">
        <f>AVERAGE(F284,F286)</f>
        <v>0.70809448159926358</v>
      </c>
    </row>
    <row r="285" spans="2:9" x14ac:dyDescent="0.2">
      <c r="C285">
        <v>125.30500000000001</v>
      </c>
    </row>
    <row r="286" spans="2:9" x14ac:dyDescent="0.2">
      <c r="C286">
        <v>90.453999999999994</v>
      </c>
      <c r="D286">
        <f>SUM(C286:C287)</f>
        <v>199.798</v>
      </c>
      <c r="E286">
        <v>150</v>
      </c>
      <c r="F286">
        <f>E286/D286</f>
        <v>0.75075826584850702</v>
      </c>
    </row>
    <row r="287" spans="2:9" x14ac:dyDescent="0.2">
      <c r="C287">
        <v>109.34399999999999</v>
      </c>
    </row>
    <row r="288" spans="2:9" x14ac:dyDescent="0.2">
      <c r="B288">
        <v>8</v>
      </c>
      <c r="C288">
        <v>130.631</v>
      </c>
      <c r="D288">
        <f>SUM(C288:C289)</f>
        <v>265.19499999999999</v>
      </c>
      <c r="E288">
        <v>219</v>
      </c>
      <c r="F288">
        <f>E288/D288</f>
        <v>0.82580742472520219</v>
      </c>
      <c r="G288">
        <f>AVERAGE(F288,F290)</f>
        <v>0.82996414619418857</v>
      </c>
    </row>
    <row r="289" spans="2:25" x14ac:dyDescent="0.2">
      <c r="C289">
        <v>134.56399999999999</v>
      </c>
    </row>
    <row r="290" spans="2:25" x14ac:dyDescent="0.2">
      <c r="C290">
        <v>135.071</v>
      </c>
      <c r="D290">
        <f>SUM(C290:C291)</f>
        <v>225.387</v>
      </c>
      <c r="E290">
        <v>188</v>
      </c>
      <c r="F290">
        <f>E290/D290</f>
        <v>0.83412086766317495</v>
      </c>
    </row>
    <row r="291" spans="2:25" x14ac:dyDescent="0.2">
      <c r="C291">
        <v>90.316000000000003</v>
      </c>
    </row>
    <row r="292" spans="2:25" x14ac:dyDescent="0.2">
      <c r="B292">
        <v>9</v>
      </c>
      <c r="C292">
        <v>124.206</v>
      </c>
      <c r="D292">
        <f>SUM(C292:C293)</f>
        <v>188.691</v>
      </c>
      <c r="E292">
        <v>164</v>
      </c>
      <c r="F292">
        <f>E292/D292</f>
        <v>0.86914585221340712</v>
      </c>
      <c r="G292">
        <f>AVERAGE(F292,F294)</f>
        <v>0.76208763173388339</v>
      </c>
    </row>
    <row r="293" spans="2:25" x14ac:dyDescent="0.2">
      <c r="C293">
        <v>64.484999999999999</v>
      </c>
    </row>
    <row r="294" spans="2:25" x14ac:dyDescent="0.2">
      <c r="C294">
        <v>125.417</v>
      </c>
      <c r="D294">
        <f>SUM(C294:C295)</f>
        <v>230.524</v>
      </c>
      <c r="E294">
        <v>151</v>
      </c>
      <c r="F294">
        <f>E294/D294</f>
        <v>0.65502941125435965</v>
      </c>
    </row>
    <row r="295" spans="2:25" x14ac:dyDescent="0.2">
      <c r="C295">
        <v>105.107</v>
      </c>
    </row>
    <row r="299" spans="2:25" x14ac:dyDescent="0.2">
      <c r="B299" t="s">
        <v>4</v>
      </c>
    </row>
    <row r="300" spans="2:2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2:25" x14ac:dyDescent="0.2">
      <c r="B301" s="4"/>
      <c r="C301" s="4" t="s">
        <v>118</v>
      </c>
      <c r="D301" s="4"/>
      <c r="E301" s="4" t="s">
        <v>119</v>
      </c>
      <c r="F301" s="4" t="s">
        <v>120</v>
      </c>
      <c r="G301" s="4" t="s">
        <v>121</v>
      </c>
      <c r="H301" s="4" t="s">
        <v>12</v>
      </c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2:25" x14ac:dyDescent="0.2">
      <c r="B302" s="4"/>
      <c r="C302" s="4">
        <v>1</v>
      </c>
      <c r="D302" s="4">
        <v>104.154</v>
      </c>
      <c r="E302" s="4">
        <v>195.91900000000001</v>
      </c>
      <c r="F302" s="4">
        <v>254</v>
      </c>
      <c r="G302" s="4">
        <v>1.296454</v>
      </c>
      <c r="H302" s="4">
        <v>1.3067249999999999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2:25" x14ac:dyDescent="0.2">
      <c r="B303" s="4"/>
      <c r="C303" s="4"/>
      <c r="D303" s="4">
        <v>91.765000000000001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2:25" x14ac:dyDescent="0.2">
      <c r="B304" s="4"/>
      <c r="C304" s="4"/>
      <c r="D304" s="4">
        <v>103.449</v>
      </c>
      <c r="E304" s="4">
        <v>199.697</v>
      </c>
      <c r="F304" s="4">
        <v>263</v>
      </c>
      <c r="G304" s="4">
        <v>1.3169949999999999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2:25" x14ac:dyDescent="0.2">
      <c r="B305" s="4"/>
      <c r="C305" s="4"/>
      <c r="D305" s="4">
        <v>96.248000000000005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2:25" x14ac:dyDescent="0.2">
      <c r="B306" s="4"/>
      <c r="C306" s="4">
        <v>2</v>
      </c>
      <c r="D306" s="4">
        <v>126.34399999999999</v>
      </c>
      <c r="E306" s="4">
        <v>214.185</v>
      </c>
      <c r="F306" s="4">
        <v>321</v>
      </c>
      <c r="G306" s="4">
        <v>1.498704</v>
      </c>
      <c r="H306" s="4">
        <v>1.224075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2:25" x14ac:dyDescent="0.2">
      <c r="B307" s="4"/>
      <c r="C307" s="4"/>
      <c r="D307" s="4">
        <v>87.840999999999994</v>
      </c>
      <c r="E307" s="4"/>
      <c r="F307" s="4"/>
      <c r="G307" s="4"/>
      <c r="H307" s="4"/>
      <c r="I307" s="4"/>
      <c r="J307" s="4">
        <v>1.3067249999999999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2:25" x14ac:dyDescent="0.2">
      <c r="B308" s="4"/>
      <c r="C308" s="4"/>
      <c r="D308" s="4">
        <v>143.322</v>
      </c>
      <c r="E308" s="4">
        <v>240.14</v>
      </c>
      <c r="F308" s="4">
        <v>228</v>
      </c>
      <c r="G308" s="4">
        <v>0.94944600000000001</v>
      </c>
      <c r="H308" s="4"/>
      <c r="I308" s="4"/>
      <c r="J308" s="4">
        <v>1.224075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2:25" x14ac:dyDescent="0.2">
      <c r="B309" s="4"/>
      <c r="C309" s="4"/>
      <c r="D309" s="4">
        <v>96.817999999999998</v>
      </c>
      <c r="E309" s="4"/>
      <c r="F309" s="4"/>
      <c r="G309" s="4"/>
      <c r="H309" s="4"/>
      <c r="I309" s="4"/>
      <c r="J309" s="4">
        <v>1.4109419999999999</v>
      </c>
      <c r="K309" s="4"/>
      <c r="L309" s="4"/>
      <c r="M309" s="4"/>
      <c r="N309" s="4" t="s">
        <v>118</v>
      </c>
      <c r="O309" s="4" t="s">
        <v>111</v>
      </c>
      <c r="P309" s="4" t="s">
        <v>116</v>
      </c>
      <c r="Q309" s="4" t="s">
        <v>117</v>
      </c>
      <c r="R309" s="4"/>
      <c r="S309" s="4"/>
      <c r="T309" s="4"/>
      <c r="U309" s="4"/>
      <c r="V309" s="4"/>
      <c r="W309" s="4"/>
      <c r="X309" s="4"/>
      <c r="Y309" s="4"/>
    </row>
    <row r="310" spans="2:25" x14ac:dyDescent="0.2">
      <c r="B310" s="4"/>
      <c r="C310" s="4">
        <v>3</v>
      </c>
      <c r="D310" s="4">
        <v>113.849</v>
      </c>
      <c r="E310" s="4">
        <v>184.67500000000001</v>
      </c>
      <c r="F310" s="4">
        <v>270</v>
      </c>
      <c r="G310" s="4">
        <v>1.4620280000000001</v>
      </c>
      <c r="H310" s="4">
        <v>1.4109419999999999</v>
      </c>
      <c r="I310" s="4"/>
      <c r="J310" s="4">
        <v>2.0430630000000001</v>
      </c>
      <c r="K310" s="4"/>
      <c r="L310" s="4"/>
      <c r="M310" s="4"/>
      <c r="N310" s="4">
        <v>1.3067249999999999</v>
      </c>
      <c r="O310" s="4">
        <v>1.5964400000000001</v>
      </c>
      <c r="P310" s="4">
        <v>1.2445949999999999</v>
      </c>
      <c r="Q310" s="4">
        <v>0.56970699999999996</v>
      </c>
      <c r="R310" s="4"/>
      <c r="S310" s="4"/>
      <c r="T310" s="4"/>
      <c r="U310" s="4"/>
      <c r="V310" s="4"/>
      <c r="W310" s="4"/>
      <c r="X310" s="4"/>
      <c r="Y310" s="4"/>
    </row>
    <row r="311" spans="2:25" x14ac:dyDescent="0.2">
      <c r="B311" s="4"/>
      <c r="C311" s="4"/>
      <c r="D311" s="4">
        <v>70.825999999999993</v>
      </c>
      <c r="E311" s="4"/>
      <c r="F311" s="4"/>
      <c r="G311" s="4"/>
      <c r="H311" s="4"/>
      <c r="I311" s="4"/>
      <c r="J311" s="4">
        <v>1.623578</v>
      </c>
      <c r="K311" s="4"/>
      <c r="L311" s="4"/>
      <c r="M311" s="4"/>
      <c r="N311" s="4">
        <v>1.224075</v>
      </c>
      <c r="O311" s="4">
        <v>1.0186440000000001</v>
      </c>
      <c r="P311" s="4">
        <v>1.408927</v>
      </c>
      <c r="Q311" s="4">
        <v>0.64428600000000003</v>
      </c>
      <c r="R311" s="4"/>
      <c r="S311" s="4"/>
      <c r="T311" s="4"/>
      <c r="U311" s="4"/>
      <c r="V311" s="4"/>
      <c r="W311" s="4"/>
      <c r="X311" s="4"/>
      <c r="Y311" s="4"/>
    </row>
    <row r="312" spans="2:25" x14ac:dyDescent="0.2">
      <c r="B312" s="4"/>
      <c r="C312" s="4"/>
      <c r="D312" s="4">
        <v>97.733000000000004</v>
      </c>
      <c r="E312" s="4">
        <v>197.815</v>
      </c>
      <c r="F312" s="4">
        <v>269</v>
      </c>
      <c r="G312" s="4">
        <v>1.359856</v>
      </c>
      <c r="H312" s="4"/>
      <c r="I312" s="4"/>
      <c r="J312" s="4">
        <v>1.5367960000000001</v>
      </c>
      <c r="K312" s="4"/>
      <c r="L312" s="4"/>
      <c r="M312" s="4"/>
      <c r="N312" s="4">
        <v>1.4109419999999999</v>
      </c>
      <c r="O312" s="4">
        <v>1.3994420000000001</v>
      </c>
      <c r="P312" s="4">
        <v>0.96323499999999995</v>
      </c>
      <c r="Q312" s="4">
        <v>0.462899</v>
      </c>
      <c r="R312" s="4"/>
      <c r="S312" s="4"/>
      <c r="T312" s="4"/>
      <c r="U312" s="4"/>
      <c r="V312" s="4"/>
      <c r="W312" s="4"/>
      <c r="X312" s="4"/>
      <c r="Y312" s="4"/>
    </row>
    <row r="313" spans="2:25" x14ac:dyDescent="0.2">
      <c r="B313" s="4"/>
      <c r="C313" s="4"/>
      <c r="D313" s="4">
        <v>100.08199999999999</v>
      </c>
      <c r="E313" s="4"/>
      <c r="F313" s="4"/>
      <c r="G313" s="4"/>
      <c r="H313" s="4"/>
      <c r="I313" s="4"/>
      <c r="J313" s="4">
        <v>1.37005</v>
      </c>
      <c r="K313" s="4"/>
      <c r="L313" s="4"/>
      <c r="M313" s="4"/>
      <c r="N313" s="4">
        <v>2.0430630000000001</v>
      </c>
      <c r="O313" s="4">
        <v>1.475533</v>
      </c>
      <c r="P313" s="4">
        <v>1.325088</v>
      </c>
      <c r="Q313" s="4">
        <v>0.39357199999999998</v>
      </c>
      <c r="R313" s="4"/>
      <c r="S313" s="4"/>
      <c r="T313" s="4"/>
      <c r="U313" s="4"/>
      <c r="V313" s="4"/>
      <c r="W313" s="4"/>
      <c r="X313" s="4"/>
      <c r="Y313" s="4"/>
    </row>
    <row r="314" spans="2:25" x14ac:dyDescent="0.2">
      <c r="B314" s="4"/>
      <c r="C314" s="4">
        <v>4</v>
      </c>
      <c r="D314" s="4">
        <v>69.603999999999999</v>
      </c>
      <c r="E314" s="4">
        <v>135.05000000000001</v>
      </c>
      <c r="F314" s="4">
        <v>295</v>
      </c>
      <c r="G314" s="4">
        <v>2.1843759999999999</v>
      </c>
      <c r="H314" s="4">
        <v>2.0430630000000001</v>
      </c>
      <c r="I314" s="4"/>
      <c r="J314" s="4">
        <v>1.2378499999999999</v>
      </c>
      <c r="K314" s="4"/>
      <c r="L314" s="4"/>
      <c r="M314" s="4"/>
      <c r="N314" s="4">
        <v>1.623578</v>
      </c>
      <c r="O314" s="4">
        <v>1.2697309999999999</v>
      </c>
      <c r="P314" s="4">
        <v>1.2426950000000001</v>
      </c>
      <c r="Q314" s="4">
        <v>0.71997599999999995</v>
      </c>
      <c r="R314" s="4"/>
      <c r="S314" s="4"/>
      <c r="T314" s="4"/>
      <c r="U314" s="4"/>
      <c r="V314" s="4"/>
      <c r="W314" s="4"/>
      <c r="X314" s="4"/>
      <c r="Y314" s="4"/>
    </row>
    <row r="315" spans="2:25" x14ac:dyDescent="0.2">
      <c r="B315" s="4"/>
      <c r="C315" s="4"/>
      <c r="D315" s="4">
        <v>65.445999999999998</v>
      </c>
      <c r="E315" s="4"/>
      <c r="F315" s="4"/>
      <c r="G315" s="4"/>
      <c r="H315" s="4"/>
      <c r="I315" s="4"/>
      <c r="J315" s="4">
        <v>0.83668200000000004</v>
      </c>
      <c r="K315" s="4"/>
      <c r="L315" s="4"/>
      <c r="M315" s="4"/>
      <c r="N315" s="4">
        <v>1.5367960000000001</v>
      </c>
      <c r="O315" s="4">
        <v>1.3897630000000001</v>
      </c>
      <c r="P315" s="4">
        <v>1.187595</v>
      </c>
      <c r="Q315" s="4">
        <v>0.70279999999999998</v>
      </c>
      <c r="R315" s="4"/>
      <c r="S315" s="4"/>
      <c r="T315" s="4"/>
      <c r="U315" s="4"/>
      <c r="V315" s="4"/>
      <c r="W315" s="4"/>
      <c r="X315" s="4"/>
      <c r="Y315" s="4"/>
    </row>
    <row r="316" spans="2:25" x14ac:dyDescent="0.2">
      <c r="B316" s="4"/>
      <c r="C316" s="4"/>
      <c r="D316" s="4">
        <v>71.906000000000006</v>
      </c>
      <c r="E316" s="4">
        <v>165.637</v>
      </c>
      <c r="F316" s="4">
        <v>315</v>
      </c>
      <c r="G316" s="4">
        <v>1.9017489999999999</v>
      </c>
      <c r="H316" s="4"/>
      <c r="I316" s="4"/>
      <c r="J316" s="4"/>
      <c r="K316" s="4"/>
      <c r="L316" s="4"/>
      <c r="M316" s="4"/>
      <c r="N316" s="4">
        <v>1.37005</v>
      </c>
      <c r="O316" s="4">
        <v>1.5144470000000001</v>
      </c>
      <c r="P316" s="4">
        <v>0.94630800000000004</v>
      </c>
      <c r="Q316" s="4">
        <v>0.57495799999999997</v>
      </c>
      <c r="R316" s="4"/>
      <c r="S316" s="4"/>
      <c r="T316" s="4"/>
      <c r="U316" s="4"/>
      <c r="V316" s="4"/>
      <c r="W316" s="4"/>
      <c r="X316" s="4"/>
      <c r="Y316" s="4"/>
    </row>
    <row r="317" spans="2:25" x14ac:dyDescent="0.2">
      <c r="B317" s="4"/>
      <c r="C317" s="4"/>
      <c r="D317" s="4">
        <v>93.730999999999995</v>
      </c>
      <c r="E317" s="4"/>
      <c r="F317" s="4"/>
      <c r="G317" s="4"/>
      <c r="H317" s="4"/>
      <c r="I317" s="4"/>
      <c r="J317" s="4"/>
      <c r="K317" s="4"/>
      <c r="L317" s="4"/>
      <c r="M317" s="4"/>
      <c r="N317" s="4">
        <v>1.2378499999999999</v>
      </c>
      <c r="O317" s="4">
        <v>1.305318</v>
      </c>
      <c r="P317" s="4">
        <v>0.98360499999999995</v>
      </c>
      <c r="Q317" s="4">
        <v>0.58616800000000002</v>
      </c>
      <c r="R317" s="4"/>
      <c r="S317" s="4"/>
      <c r="T317" s="4"/>
      <c r="U317" s="4"/>
      <c r="V317" s="4"/>
      <c r="W317" s="4"/>
      <c r="X317" s="4"/>
      <c r="Y317" s="4"/>
    </row>
    <row r="318" spans="2:25" x14ac:dyDescent="0.2">
      <c r="B318" s="4"/>
      <c r="C318" s="4">
        <v>5</v>
      </c>
      <c r="D318" s="4">
        <v>83.221999999999994</v>
      </c>
      <c r="E318" s="4">
        <v>196.678</v>
      </c>
      <c r="F318" s="4">
        <v>338</v>
      </c>
      <c r="G318" s="4">
        <v>1.718545</v>
      </c>
      <c r="H318" s="4">
        <v>1.623578</v>
      </c>
      <c r="I318" s="4"/>
      <c r="J318" s="4"/>
      <c r="K318" s="4"/>
      <c r="L318" s="4"/>
      <c r="M318" s="4"/>
      <c r="N318" s="4">
        <v>0.83668200000000004</v>
      </c>
      <c r="O318" s="4"/>
      <c r="P318" s="4">
        <v>0.80226600000000003</v>
      </c>
      <c r="Q318" s="4"/>
      <c r="R318" s="4"/>
      <c r="S318" s="4"/>
      <c r="T318" s="4"/>
      <c r="U318" s="4"/>
      <c r="V318" s="4"/>
      <c r="W318" s="4"/>
      <c r="X318" s="4"/>
      <c r="Y318" s="4"/>
    </row>
    <row r="319" spans="2:25" x14ac:dyDescent="0.2">
      <c r="B319" s="4"/>
      <c r="C319" s="4"/>
      <c r="D319" s="4">
        <v>113.456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>
        <v>1.055261</v>
      </c>
      <c r="Q319" s="4"/>
      <c r="R319" s="4"/>
      <c r="S319" s="4"/>
      <c r="T319" s="4"/>
      <c r="U319" s="4"/>
      <c r="V319" s="4"/>
      <c r="W319" s="4"/>
      <c r="X319" s="4"/>
      <c r="Y319" s="4"/>
    </row>
    <row r="320" spans="2:25" x14ac:dyDescent="0.2">
      <c r="B320" s="4"/>
      <c r="C320" s="4"/>
      <c r="D320" s="4">
        <v>83.614000000000004</v>
      </c>
      <c r="E320" s="4">
        <v>162.893</v>
      </c>
      <c r="F320" s="4">
        <v>249</v>
      </c>
      <c r="G320" s="4">
        <v>1.5286109999999999</v>
      </c>
      <c r="H320" s="4"/>
      <c r="I320" s="4"/>
      <c r="J320" s="4"/>
      <c r="K320" s="4"/>
      <c r="L320" s="4"/>
      <c r="M320" s="4" t="s">
        <v>12</v>
      </c>
      <c r="N320" s="5">
        <v>1.398862</v>
      </c>
      <c r="O320" s="5">
        <v>1.371165</v>
      </c>
      <c r="P320" s="5">
        <v>1.1159570000000001</v>
      </c>
      <c r="Q320" s="5">
        <v>0.58179599999999998</v>
      </c>
      <c r="R320" s="4"/>
      <c r="S320" s="4"/>
      <c r="T320" s="4"/>
      <c r="U320" s="4"/>
      <c r="V320" s="4"/>
      <c r="W320" s="4"/>
      <c r="X320" s="4"/>
      <c r="Y320" s="4"/>
    </row>
    <row r="321" spans="2:25" x14ac:dyDescent="0.2">
      <c r="B321" s="4"/>
      <c r="C321" s="4"/>
      <c r="D321" s="4">
        <v>79.278999999999996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 x14ac:dyDescent="0.2">
      <c r="B322" s="4"/>
      <c r="C322" s="4">
        <v>6</v>
      </c>
      <c r="D322" s="4">
        <v>90.165000000000006</v>
      </c>
      <c r="E322" s="4">
        <v>148.655</v>
      </c>
      <c r="F322" s="4">
        <v>203</v>
      </c>
      <c r="G322" s="4">
        <v>1.365578</v>
      </c>
      <c r="H322" s="4">
        <v>1.5367960000000001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 x14ac:dyDescent="0.2">
      <c r="B323" s="4"/>
      <c r="C323" s="4"/>
      <c r="D323" s="4">
        <v>58.49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 x14ac:dyDescent="0.2">
      <c r="B324" s="4"/>
      <c r="C324" s="4"/>
      <c r="D324" s="4">
        <v>112.121</v>
      </c>
      <c r="E324" s="4">
        <v>227.75</v>
      </c>
      <c r="F324" s="4">
        <v>389</v>
      </c>
      <c r="G324" s="4">
        <v>1.708013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 x14ac:dyDescent="0.2">
      <c r="B325" s="4"/>
      <c r="C325" s="4"/>
      <c r="D325" s="4">
        <v>115.629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 x14ac:dyDescent="0.2">
      <c r="B326" s="4"/>
      <c r="C326" s="4">
        <v>7</v>
      </c>
      <c r="D326" s="4">
        <v>133.57</v>
      </c>
      <c r="E326" s="4">
        <v>245.55</v>
      </c>
      <c r="F326" s="4">
        <v>349</v>
      </c>
      <c r="G326" s="4">
        <v>1.4212990000000001</v>
      </c>
      <c r="H326" s="4">
        <v>1.37005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 x14ac:dyDescent="0.2">
      <c r="B327" s="4"/>
      <c r="C327" s="4"/>
      <c r="D327" s="4">
        <v>111.98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 x14ac:dyDescent="0.2">
      <c r="B328" s="4"/>
      <c r="C328" s="4"/>
      <c r="D328" s="4">
        <v>73.781999999999996</v>
      </c>
      <c r="E328" s="4">
        <v>151.65299999999999</v>
      </c>
      <c r="F328" s="4">
        <v>200</v>
      </c>
      <c r="G328" s="4">
        <v>1.3188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 x14ac:dyDescent="0.2">
      <c r="B329" s="4"/>
      <c r="C329" s="4"/>
      <c r="D329" s="4">
        <v>77.870999999999995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 x14ac:dyDescent="0.2">
      <c r="B330" s="4"/>
      <c r="C330" s="4">
        <v>8</v>
      </c>
      <c r="D330" s="4">
        <v>124.49299999999999</v>
      </c>
      <c r="E330" s="4">
        <v>204.126</v>
      </c>
      <c r="F330" s="4">
        <v>267</v>
      </c>
      <c r="G330" s="4">
        <v>1.3080160000000001</v>
      </c>
      <c r="H330" s="4">
        <v>1.2378499999999999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 x14ac:dyDescent="0.2">
      <c r="B331" s="4"/>
      <c r="C331" s="4"/>
      <c r="D331" s="4">
        <v>79.632999999999996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 x14ac:dyDescent="0.2">
      <c r="B332" s="4"/>
      <c r="C332" s="4"/>
      <c r="D332" s="4">
        <v>101.333</v>
      </c>
      <c r="E332" s="4">
        <v>188.40700000000001</v>
      </c>
      <c r="F332" s="4">
        <v>220</v>
      </c>
      <c r="G332" s="4">
        <v>1.1676850000000001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 x14ac:dyDescent="0.2">
      <c r="B333" s="4"/>
      <c r="C333" s="4"/>
      <c r="D333" s="4">
        <v>87.073999999999998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 x14ac:dyDescent="0.2">
      <c r="B334" s="4"/>
      <c r="C334" s="4">
        <v>9</v>
      </c>
      <c r="D334" s="4">
        <v>125.182</v>
      </c>
      <c r="E334" s="4">
        <v>257.73899999999998</v>
      </c>
      <c r="F334" s="4">
        <v>245</v>
      </c>
      <c r="G334" s="4">
        <v>0.95057400000000003</v>
      </c>
      <c r="H334" s="4">
        <v>0.83668200000000004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 x14ac:dyDescent="0.2">
      <c r="B335" s="4"/>
      <c r="C335" s="4"/>
      <c r="D335" s="4">
        <v>132.55699999999999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 x14ac:dyDescent="0.2">
      <c r="B336" s="4"/>
      <c r="C336" s="4"/>
      <c r="D336" s="4">
        <v>104.694</v>
      </c>
      <c r="E336" s="4">
        <v>217.214</v>
      </c>
      <c r="F336" s="4">
        <v>157</v>
      </c>
      <c r="G336" s="4">
        <v>0.72279000000000004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 x14ac:dyDescent="0.2">
      <c r="B337" s="4"/>
      <c r="C337" s="4"/>
      <c r="D337" s="4">
        <v>112.52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 x14ac:dyDescent="0.2">
      <c r="B339" s="4"/>
      <c r="C339" s="4" t="s">
        <v>111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 x14ac:dyDescent="0.2">
      <c r="B340" s="4"/>
      <c r="C340" s="4">
        <v>1</v>
      </c>
      <c r="D340" s="4">
        <v>122.65600000000001</v>
      </c>
      <c r="E340" s="4">
        <v>238.39699999999999</v>
      </c>
      <c r="F340" s="4">
        <v>322</v>
      </c>
      <c r="G340" s="4">
        <v>1.3506880000000001</v>
      </c>
      <c r="H340" s="4">
        <v>1.5964400000000001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 x14ac:dyDescent="0.2">
      <c r="B341" s="4"/>
      <c r="C341" s="4"/>
      <c r="D341" s="4">
        <v>115.741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 x14ac:dyDescent="0.2">
      <c r="B342" s="4"/>
      <c r="C342" s="4"/>
      <c r="D342" s="4">
        <v>66.852000000000004</v>
      </c>
      <c r="E342" s="4">
        <v>125.937</v>
      </c>
      <c r="F342" s="4">
        <v>232</v>
      </c>
      <c r="G342" s="4">
        <v>1.8421909999999999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 x14ac:dyDescent="0.2">
      <c r="B343" s="4"/>
      <c r="C343" s="4"/>
      <c r="D343" s="4">
        <v>59.085000000000001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 x14ac:dyDescent="0.2">
      <c r="B344" s="4"/>
      <c r="C344" s="4">
        <v>2</v>
      </c>
      <c r="D344" s="4">
        <v>121.84399999999999</v>
      </c>
      <c r="E344" s="4">
        <v>186.07400000000001</v>
      </c>
      <c r="F344" s="4">
        <v>187</v>
      </c>
      <c r="G344" s="4">
        <v>1.004977</v>
      </c>
      <c r="H344" s="4">
        <v>1.0186440000000001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 x14ac:dyDescent="0.2">
      <c r="B345" s="4"/>
      <c r="C345" s="4"/>
      <c r="D345" s="4">
        <v>64.23</v>
      </c>
      <c r="E345" s="4"/>
      <c r="F345" s="4"/>
      <c r="G345" s="4"/>
      <c r="H345" s="4"/>
      <c r="I345" s="4"/>
      <c r="J345" s="4">
        <v>1.5964400000000001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 x14ac:dyDescent="0.2">
      <c r="B346" s="4"/>
      <c r="C346" s="4"/>
      <c r="D346" s="4">
        <v>84.962999999999994</v>
      </c>
      <c r="E346" s="4">
        <v>174.36600000000001</v>
      </c>
      <c r="F346" s="4">
        <v>180</v>
      </c>
      <c r="G346" s="4">
        <v>1.032311</v>
      </c>
      <c r="H346" s="4"/>
      <c r="I346" s="4"/>
      <c r="J346" s="4">
        <v>1.0186440000000001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 x14ac:dyDescent="0.2">
      <c r="B347" s="4"/>
      <c r="C347" s="4"/>
      <c r="D347" s="4">
        <v>89.403000000000006</v>
      </c>
      <c r="E347" s="4"/>
      <c r="F347" s="4"/>
      <c r="G347" s="4"/>
      <c r="H347" s="4"/>
      <c r="I347" s="4"/>
      <c r="J347" s="4">
        <v>1.3994420000000001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 x14ac:dyDescent="0.2">
      <c r="B348" s="4"/>
      <c r="C348" s="4">
        <v>3</v>
      </c>
      <c r="D348" s="4">
        <v>93.77</v>
      </c>
      <c r="E348" s="4">
        <v>188.232</v>
      </c>
      <c r="F348" s="4">
        <v>235</v>
      </c>
      <c r="G348" s="4">
        <v>1.248459</v>
      </c>
      <c r="H348" s="4">
        <v>1.3994420000000001</v>
      </c>
      <c r="I348" s="4"/>
      <c r="J348" s="4">
        <v>1.475533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 x14ac:dyDescent="0.2">
      <c r="B349" s="4"/>
      <c r="C349" s="4"/>
      <c r="D349" s="4">
        <v>94.462000000000003</v>
      </c>
      <c r="E349" s="4"/>
      <c r="F349" s="4"/>
      <c r="G349" s="4"/>
      <c r="H349" s="4"/>
      <c r="I349" s="4"/>
      <c r="J349" s="4">
        <v>1.2697309999999999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 x14ac:dyDescent="0.2">
      <c r="B350" s="4"/>
      <c r="C350" s="4"/>
      <c r="D350" s="4">
        <v>58.524999999999999</v>
      </c>
      <c r="E350" s="4">
        <v>125.77200000000001</v>
      </c>
      <c r="F350" s="4">
        <v>195</v>
      </c>
      <c r="G350" s="4">
        <v>1.5504249999999999</v>
      </c>
      <c r="H350" s="4"/>
      <c r="I350" s="4"/>
      <c r="J350" s="4">
        <v>1.3897630000000001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 x14ac:dyDescent="0.2">
      <c r="B351" s="4"/>
      <c r="C351" s="4"/>
      <c r="D351" s="4">
        <v>67.247</v>
      </c>
      <c r="E351" s="4"/>
      <c r="F351" s="4"/>
      <c r="G351" s="4"/>
      <c r="H351" s="4"/>
      <c r="I351" s="4"/>
      <c r="J351" s="4">
        <v>1.5144470000000001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 x14ac:dyDescent="0.2">
      <c r="B352" s="4"/>
      <c r="C352" s="4">
        <v>4</v>
      </c>
      <c r="D352" s="4">
        <v>182.40700000000001</v>
      </c>
      <c r="E352" s="4">
        <v>252.92599999999999</v>
      </c>
      <c r="F352" s="4">
        <v>338</v>
      </c>
      <c r="G352" s="4">
        <v>1.3363590000000001</v>
      </c>
      <c r="H352" s="4">
        <v>1.475533</v>
      </c>
      <c r="I352" s="4"/>
      <c r="J352" s="4">
        <v>1.305318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 x14ac:dyDescent="0.2">
      <c r="B353" s="4"/>
      <c r="C353" s="4"/>
      <c r="D353" s="4">
        <v>70.519000000000005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 x14ac:dyDescent="0.2">
      <c r="B354" s="4"/>
      <c r="C354" s="4"/>
      <c r="D354" s="4">
        <v>84.811999999999998</v>
      </c>
      <c r="E354" s="4">
        <v>185.173</v>
      </c>
      <c r="F354" s="4">
        <v>299</v>
      </c>
      <c r="G354" s="4">
        <v>1.614706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 x14ac:dyDescent="0.2">
      <c r="B355" s="4"/>
      <c r="C355" s="4"/>
      <c r="D355" s="4">
        <v>100.361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 x14ac:dyDescent="0.2">
      <c r="B356" s="4"/>
      <c r="C356" s="4">
        <v>5</v>
      </c>
      <c r="D356" s="4">
        <v>147.941</v>
      </c>
      <c r="E356" s="4">
        <v>274.07600000000002</v>
      </c>
      <c r="F356" s="4">
        <v>358</v>
      </c>
      <c r="G356" s="4">
        <v>1.3062069999999999</v>
      </c>
      <c r="H356" s="4">
        <v>1.2697309999999999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 x14ac:dyDescent="0.2">
      <c r="B357" s="4"/>
      <c r="C357" s="4"/>
      <c r="D357" s="4">
        <v>126.13500000000001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 x14ac:dyDescent="0.2">
      <c r="B358" s="4"/>
      <c r="C358" s="4"/>
      <c r="D358" s="4">
        <v>155.71299999999999</v>
      </c>
      <c r="E358" s="4">
        <v>305.69499999999999</v>
      </c>
      <c r="F358" s="4">
        <v>377</v>
      </c>
      <c r="G358" s="4">
        <v>1.233255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 x14ac:dyDescent="0.2">
      <c r="B359" s="4"/>
      <c r="C359" s="4"/>
      <c r="D359" s="4">
        <v>149.982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 x14ac:dyDescent="0.2">
      <c r="B360" s="4"/>
      <c r="C360" s="4">
        <v>6</v>
      </c>
      <c r="D360" s="4">
        <v>188.18700000000001</v>
      </c>
      <c r="E360" s="4">
        <v>331.79500000000002</v>
      </c>
      <c r="F360" s="4">
        <v>499</v>
      </c>
      <c r="G360" s="4">
        <v>1.503941</v>
      </c>
      <c r="H360" s="4">
        <v>1.3897630000000001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 x14ac:dyDescent="0.2">
      <c r="B361" s="4"/>
      <c r="C361" s="4"/>
      <c r="D361" s="4">
        <v>143.608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 x14ac:dyDescent="0.2">
      <c r="B362" s="4"/>
      <c r="C362" s="4"/>
      <c r="D362" s="4">
        <v>92.100999999999999</v>
      </c>
      <c r="E362" s="4">
        <v>154.43899999999999</v>
      </c>
      <c r="F362" s="4">
        <v>197</v>
      </c>
      <c r="G362" s="4">
        <v>1.275585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 x14ac:dyDescent="0.2">
      <c r="B363" s="4"/>
      <c r="C363" s="4"/>
      <c r="D363" s="4">
        <v>62.338000000000001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 x14ac:dyDescent="0.2">
      <c r="B364" s="4"/>
      <c r="C364" s="4">
        <v>7</v>
      </c>
      <c r="D364" s="4">
        <v>68.402000000000001</v>
      </c>
      <c r="E364" s="4">
        <v>177.82300000000001</v>
      </c>
      <c r="F364" s="4">
        <v>272</v>
      </c>
      <c r="G364" s="4">
        <v>1.5296110000000001</v>
      </c>
      <c r="H364" s="4">
        <v>1.5144470000000001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 x14ac:dyDescent="0.2">
      <c r="B365" s="4"/>
      <c r="C365" s="4"/>
      <c r="D365" s="4">
        <v>109.42100000000001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 x14ac:dyDescent="0.2">
      <c r="B366" s="4"/>
      <c r="C366" s="4"/>
      <c r="D366" s="4">
        <v>76.352000000000004</v>
      </c>
      <c r="E366" s="4">
        <v>133.39699999999999</v>
      </c>
      <c r="F366" s="4">
        <v>200</v>
      </c>
      <c r="G366" s="4">
        <v>1.4992840000000001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 x14ac:dyDescent="0.2">
      <c r="B367" s="4"/>
      <c r="C367" s="4"/>
      <c r="D367" s="4">
        <v>57.045000000000002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 x14ac:dyDescent="0.2">
      <c r="B368" s="4"/>
      <c r="C368" s="4">
        <v>8</v>
      </c>
      <c r="D368" s="4">
        <v>136.86500000000001</v>
      </c>
      <c r="E368" s="4">
        <v>278.24799999999999</v>
      </c>
      <c r="F368" s="4">
        <v>321</v>
      </c>
      <c r="G368" s="4">
        <v>1.1536470000000001</v>
      </c>
      <c r="H368" s="4">
        <v>1.305318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 x14ac:dyDescent="0.2">
      <c r="B369" s="4"/>
      <c r="C369" s="4"/>
      <c r="D369" s="4">
        <v>141.38300000000001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 x14ac:dyDescent="0.2">
      <c r="B370" s="4"/>
      <c r="C370" s="4"/>
      <c r="D370" s="4">
        <v>111.21899999999999</v>
      </c>
      <c r="E370" s="4">
        <v>168.155</v>
      </c>
      <c r="F370" s="4">
        <v>245</v>
      </c>
      <c r="G370" s="4">
        <v>1.4569890000000001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 x14ac:dyDescent="0.2">
      <c r="B371" s="4"/>
      <c r="C371" s="4"/>
      <c r="D371" s="4">
        <v>56.936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 x14ac:dyDescent="0.2">
      <c r="B373" s="4"/>
      <c r="C373" s="4" t="s">
        <v>116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 x14ac:dyDescent="0.2">
      <c r="B374" s="4"/>
      <c r="C374" s="4">
        <v>1</v>
      </c>
      <c r="D374" s="4">
        <v>111.28</v>
      </c>
      <c r="E374" s="4">
        <v>212.38499999999999</v>
      </c>
      <c r="F374" s="4">
        <v>252</v>
      </c>
      <c r="G374" s="4">
        <v>1.1865239999999999</v>
      </c>
      <c r="H374" s="4">
        <v>1.2445949999999999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 x14ac:dyDescent="0.2">
      <c r="B375" s="4"/>
      <c r="C375" s="4"/>
      <c r="D375" s="4">
        <v>101.105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 x14ac:dyDescent="0.2">
      <c r="B376" s="4"/>
      <c r="C376" s="4"/>
      <c r="D376" s="4">
        <v>133.64400000000001</v>
      </c>
      <c r="E376" s="4">
        <v>201.126</v>
      </c>
      <c r="F376" s="4">
        <v>262</v>
      </c>
      <c r="G376" s="4">
        <v>1.3026660000000001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 x14ac:dyDescent="0.2">
      <c r="B377" s="4"/>
      <c r="C377" s="4"/>
      <c r="D377" s="4">
        <v>67.481999999999999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 x14ac:dyDescent="0.2">
      <c r="B378" s="4"/>
      <c r="C378" s="4">
        <v>2</v>
      </c>
      <c r="D378" s="4">
        <v>128.601</v>
      </c>
      <c r="E378" s="4">
        <v>239.38399999999999</v>
      </c>
      <c r="F378" s="4">
        <v>385</v>
      </c>
      <c r="G378" s="4">
        <v>1.608295</v>
      </c>
      <c r="H378" s="4">
        <v>1.408927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 x14ac:dyDescent="0.2">
      <c r="B379" s="4"/>
      <c r="C379" s="4"/>
      <c r="D379" s="4">
        <v>110.783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 x14ac:dyDescent="0.2">
      <c r="B380" s="4"/>
      <c r="C380" s="4"/>
      <c r="D380" s="4">
        <v>102.84</v>
      </c>
      <c r="E380" s="4">
        <v>153.77500000000001</v>
      </c>
      <c r="F380" s="4">
        <v>186</v>
      </c>
      <c r="G380" s="4">
        <v>1.2095590000000001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 x14ac:dyDescent="0.2">
      <c r="B381" s="4"/>
      <c r="C381" s="4"/>
      <c r="D381" s="4">
        <v>50.935000000000002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 x14ac:dyDescent="0.2">
      <c r="B382" s="4"/>
      <c r="C382" s="4">
        <v>3</v>
      </c>
      <c r="D382" s="4">
        <v>104.51600000000001</v>
      </c>
      <c r="E382" s="4">
        <v>182.60300000000001</v>
      </c>
      <c r="F382" s="4">
        <v>194</v>
      </c>
      <c r="G382" s="4">
        <v>1.062414</v>
      </c>
      <c r="H382" s="4">
        <v>0.96323499999999995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 x14ac:dyDescent="0.2">
      <c r="B383" s="4"/>
      <c r="C383" s="4"/>
      <c r="D383" s="4">
        <v>78.087000000000003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 x14ac:dyDescent="0.2">
      <c r="B384" s="4"/>
      <c r="C384" s="4"/>
      <c r="D384" s="4">
        <v>87.974999999999994</v>
      </c>
      <c r="E384" s="4">
        <v>166.65600000000001</v>
      </c>
      <c r="F384" s="4">
        <v>144</v>
      </c>
      <c r="G384" s="4">
        <v>0.86405500000000002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 x14ac:dyDescent="0.2">
      <c r="B385" s="4"/>
      <c r="C385" s="4"/>
      <c r="D385" s="4">
        <v>78.680999999999997</v>
      </c>
      <c r="E385" s="4"/>
      <c r="F385" s="4"/>
      <c r="G385" s="4"/>
      <c r="H385" s="4"/>
      <c r="I385" s="4"/>
      <c r="J385" s="4">
        <v>1.2445949999999999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 x14ac:dyDescent="0.2">
      <c r="B386" s="4"/>
      <c r="C386" s="4">
        <v>4</v>
      </c>
      <c r="D386" s="4">
        <v>72.19</v>
      </c>
      <c r="E386" s="4">
        <v>126.134</v>
      </c>
      <c r="F386" s="4">
        <v>195</v>
      </c>
      <c r="G386" s="4">
        <v>1.5459750000000001</v>
      </c>
      <c r="H386" s="4">
        <v>1.325088</v>
      </c>
      <c r="I386" s="4"/>
      <c r="J386" s="4">
        <v>1.408927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 x14ac:dyDescent="0.2">
      <c r="B387" s="4"/>
      <c r="C387" s="4"/>
      <c r="D387" s="4">
        <v>53.944000000000003</v>
      </c>
      <c r="E387" s="4"/>
      <c r="F387" s="4"/>
      <c r="G387" s="4"/>
      <c r="H387" s="4"/>
      <c r="I387" s="4"/>
      <c r="J387" s="4">
        <v>0.96323499999999995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 x14ac:dyDescent="0.2">
      <c r="B388" s="4"/>
      <c r="C388" s="4"/>
      <c r="D388" s="4">
        <v>77.742000000000004</v>
      </c>
      <c r="E388" s="4">
        <v>182.03200000000001</v>
      </c>
      <c r="F388" s="4">
        <v>201</v>
      </c>
      <c r="G388" s="4">
        <v>1.104201</v>
      </c>
      <c r="H388" s="4"/>
      <c r="I388" s="4"/>
      <c r="J388" s="4">
        <v>1.325088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 x14ac:dyDescent="0.2">
      <c r="B389" s="4"/>
      <c r="C389" s="4"/>
      <c r="D389" s="4">
        <v>104.29</v>
      </c>
      <c r="E389" s="4"/>
      <c r="F389" s="4"/>
      <c r="G389" s="4"/>
      <c r="H389" s="4"/>
      <c r="I389" s="4"/>
      <c r="J389" s="4">
        <v>1.2426950000000001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 x14ac:dyDescent="0.2">
      <c r="B390" s="4"/>
      <c r="C390" s="4">
        <v>5</v>
      </c>
      <c r="D390" s="4">
        <v>120.744</v>
      </c>
      <c r="E390" s="4">
        <v>230.37200000000001</v>
      </c>
      <c r="F390" s="4">
        <v>308</v>
      </c>
      <c r="G390" s="4">
        <v>1.3369679999999999</v>
      </c>
      <c r="H390" s="4">
        <v>1.2426950000000001</v>
      </c>
      <c r="I390" s="4"/>
      <c r="J390" s="4">
        <v>1.187595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 x14ac:dyDescent="0.2">
      <c r="B391" s="4"/>
      <c r="C391" s="4"/>
      <c r="D391" s="4">
        <v>109.628</v>
      </c>
      <c r="E391" s="4"/>
      <c r="F391" s="4"/>
      <c r="G391" s="4"/>
      <c r="H391" s="4"/>
      <c r="I391" s="4"/>
      <c r="J391" s="4">
        <v>0.94630800000000004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 x14ac:dyDescent="0.2">
      <c r="B392" s="4"/>
      <c r="C392" s="4"/>
      <c r="D392" s="4">
        <v>152.33699999999999</v>
      </c>
      <c r="E392" s="4">
        <v>256.87400000000002</v>
      </c>
      <c r="F392" s="4">
        <v>295</v>
      </c>
      <c r="G392" s="4">
        <v>1.148423</v>
      </c>
      <c r="H392" s="4"/>
      <c r="I392" s="4"/>
      <c r="J392" s="4">
        <v>0.98360499999999995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 x14ac:dyDescent="0.2">
      <c r="B393" s="4"/>
      <c r="C393" s="4"/>
      <c r="D393" s="4">
        <v>104.53700000000001</v>
      </c>
      <c r="E393" s="4"/>
      <c r="F393" s="4"/>
      <c r="G393" s="4"/>
      <c r="H393" s="4"/>
      <c r="I393" s="4"/>
      <c r="J393" s="4">
        <v>0.80226600000000003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 x14ac:dyDescent="0.2">
      <c r="B394" s="4"/>
      <c r="C394" s="4">
        <v>6</v>
      </c>
      <c r="D394" s="4">
        <v>96.686999999999998</v>
      </c>
      <c r="E394" s="4">
        <v>147.55500000000001</v>
      </c>
      <c r="F394" s="4">
        <v>158</v>
      </c>
      <c r="G394" s="4">
        <v>1.0707869999999999</v>
      </c>
      <c r="H394" s="4">
        <v>1.187595</v>
      </c>
      <c r="I394" s="4"/>
      <c r="J394" s="4">
        <v>1.055261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 x14ac:dyDescent="0.2">
      <c r="B395" s="4"/>
      <c r="C395" s="4"/>
      <c r="D395" s="4">
        <v>50.868000000000002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 x14ac:dyDescent="0.2">
      <c r="B396" s="4"/>
      <c r="C396" s="4"/>
      <c r="D396" s="4">
        <v>82.596999999999994</v>
      </c>
      <c r="E396" s="4">
        <v>167.893</v>
      </c>
      <c r="F396" s="4">
        <v>219</v>
      </c>
      <c r="G396" s="4">
        <v>1.3044020000000001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 x14ac:dyDescent="0.2">
      <c r="B397" s="4"/>
      <c r="C397" s="4"/>
      <c r="D397" s="4">
        <v>85.296000000000006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 x14ac:dyDescent="0.2">
      <c r="B398" s="4"/>
      <c r="C398" s="4">
        <v>7</v>
      </c>
      <c r="D398" s="4">
        <v>141.649</v>
      </c>
      <c r="E398" s="4">
        <v>216.25200000000001</v>
      </c>
      <c r="F398" s="4">
        <v>202</v>
      </c>
      <c r="G398" s="4">
        <v>0.93409500000000001</v>
      </c>
      <c r="H398" s="4">
        <v>0.94630800000000004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 x14ac:dyDescent="0.2">
      <c r="B399" s="4"/>
      <c r="C399" s="4"/>
      <c r="D399" s="4">
        <v>74.602999999999994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 x14ac:dyDescent="0.2">
      <c r="B400" s="4"/>
      <c r="C400" s="4"/>
      <c r="D400" s="4">
        <v>65.239000000000004</v>
      </c>
      <c r="E400" s="4">
        <v>159.62100000000001</v>
      </c>
      <c r="F400" s="4">
        <v>153</v>
      </c>
      <c r="G400" s="4">
        <v>0.95852000000000004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 x14ac:dyDescent="0.2">
      <c r="B401" s="4"/>
      <c r="C401" s="4"/>
      <c r="D401" s="4">
        <v>94.382000000000005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 x14ac:dyDescent="0.2">
      <c r="B402" s="4"/>
      <c r="C402" s="4">
        <v>8</v>
      </c>
      <c r="D402" s="4">
        <v>130.09</v>
      </c>
      <c r="E402" s="4">
        <v>159.75899999999999</v>
      </c>
      <c r="F402" s="4">
        <v>169</v>
      </c>
      <c r="G402" s="4">
        <v>1.0578430000000001</v>
      </c>
      <c r="H402" s="4">
        <v>0.98360499999999995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 x14ac:dyDescent="0.2">
      <c r="B403" s="4"/>
      <c r="C403" s="4"/>
      <c r="D403" s="4">
        <v>29.669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 x14ac:dyDescent="0.2">
      <c r="B404" s="4"/>
      <c r="C404" s="4"/>
      <c r="D404" s="4">
        <v>119.289</v>
      </c>
      <c r="E404" s="4">
        <v>201.239</v>
      </c>
      <c r="F404" s="4">
        <v>183</v>
      </c>
      <c r="G404" s="4">
        <v>0.90936600000000001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 x14ac:dyDescent="0.2">
      <c r="B405" s="4"/>
      <c r="C405" s="4"/>
      <c r="D405" s="4">
        <v>81.95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 x14ac:dyDescent="0.2">
      <c r="B406" s="4"/>
      <c r="C406" s="4">
        <v>9</v>
      </c>
      <c r="D406" s="4">
        <v>168.19300000000001</v>
      </c>
      <c r="E406" s="4">
        <v>229.31399999999999</v>
      </c>
      <c r="F406" s="4">
        <v>210</v>
      </c>
      <c r="G406" s="4">
        <v>0.91577500000000001</v>
      </c>
      <c r="H406" s="4">
        <v>0.80226600000000003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 x14ac:dyDescent="0.2">
      <c r="B407" s="4"/>
      <c r="C407" s="4"/>
      <c r="D407" s="4">
        <v>61.121000000000002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 x14ac:dyDescent="0.2">
      <c r="B408" s="4"/>
      <c r="C408" s="4"/>
      <c r="D408" s="4">
        <v>94.703000000000003</v>
      </c>
      <c r="E408" s="4">
        <v>188.74600000000001</v>
      </c>
      <c r="F408" s="4">
        <v>130</v>
      </c>
      <c r="G408" s="4">
        <v>0.68875600000000003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 x14ac:dyDescent="0.2">
      <c r="B409" s="4"/>
      <c r="C409" s="4"/>
      <c r="D409" s="4">
        <v>94.043000000000006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 x14ac:dyDescent="0.2">
      <c r="B410" s="4"/>
      <c r="C410" s="4">
        <v>10</v>
      </c>
      <c r="D410" s="4">
        <v>107.923</v>
      </c>
      <c r="E410" s="4">
        <v>221.39</v>
      </c>
      <c r="F410" s="4">
        <v>253</v>
      </c>
      <c r="G410" s="4">
        <v>1.1427799999999999</v>
      </c>
      <c r="H410" s="4">
        <v>1.055261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 x14ac:dyDescent="0.2">
      <c r="B411" s="4"/>
      <c r="C411" s="4"/>
      <c r="D411" s="4">
        <v>113.467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 x14ac:dyDescent="0.2">
      <c r="B412" s="4"/>
      <c r="C412" s="4"/>
      <c r="D412" s="4">
        <v>80.525000000000006</v>
      </c>
      <c r="E412" s="4">
        <v>142.6</v>
      </c>
      <c r="F412" s="4">
        <v>138</v>
      </c>
      <c r="G412" s="4">
        <v>0.96774199999999999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 x14ac:dyDescent="0.2">
      <c r="B413" s="4"/>
      <c r="C413" s="4"/>
      <c r="D413" s="4">
        <v>62.075000000000003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 x14ac:dyDescent="0.2">
      <c r="B415" s="4"/>
      <c r="C415" s="4" t="s">
        <v>117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 x14ac:dyDescent="0.2">
      <c r="B416" s="4"/>
      <c r="C416" s="4">
        <v>1</v>
      </c>
      <c r="D416" s="4">
        <v>95.674999999999997</v>
      </c>
      <c r="E416" s="4">
        <v>172.399</v>
      </c>
      <c r="F416" s="4">
        <v>100</v>
      </c>
      <c r="G416" s="4">
        <v>0.58004999999999995</v>
      </c>
      <c r="H416" s="4">
        <v>0.56970699999999996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 x14ac:dyDescent="0.2">
      <c r="B417" s="4"/>
      <c r="C417" s="4"/>
      <c r="D417" s="4">
        <v>76.724000000000004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 x14ac:dyDescent="0.2">
      <c r="B418" s="4"/>
      <c r="C418" s="4"/>
      <c r="D418" s="4">
        <v>104.754</v>
      </c>
      <c r="E418" s="4">
        <v>221.68</v>
      </c>
      <c r="F418" s="4">
        <v>124</v>
      </c>
      <c r="G418" s="4">
        <v>0.559365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 x14ac:dyDescent="0.2">
      <c r="B419" s="4"/>
      <c r="C419" s="4"/>
      <c r="D419" s="4">
        <v>116.926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 x14ac:dyDescent="0.2">
      <c r="B420" s="4"/>
      <c r="C420" s="4">
        <v>2</v>
      </c>
      <c r="D420" s="4">
        <v>80.373000000000005</v>
      </c>
      <c r="E420" s="4">
        <v>139.19300000000001</v>
      </c>
      <c r="F420" s="4">
        <v>98</v>
      </c>
      <c r="G420" s="4">
        <v>0.70405799999999996</v>
      </c>
      <c r="H420" s="4">
        <v>0.64428600000000003</v>
      </c>
      <c r="I420" s="4"/>
      <c r="J420" s="4">
        <v>0.56970699999999996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 x14ac:dyDescent="0.2">
      <c r="B421" s="4"/>
      <c r="C421" s="4"/>
      <c r="D421" s="4">
        <v>58.82</v>
      </c>
      <c r="E421" s="4"/>
      <c r="F421" s="4"/>
      <c r="G421" s="4"/>
      <c r="H421" s="4"/>
      <c r="I421" s="4"/>
      <c r="J421" s="4">
        <v>0.64428600000000003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 x14ac:dyDescent="0.2">
      <c r="B422" s="4"/>
      <c r="C422" s="4"/>
      <c r="D422" s="4">
        <v>72.926000000000002</v>
      </c>
      <c r="E422" s="4">
        <v>136.86600000000001</v>
      </c>
      <c r="F422" s="4">
        <v>80</v>
      </c>
      <c r="G422" s="4">
        <v>0.58451299999999995</v>
      </c>
      <c r="H422" s="4"/>
      <c r="I422" s="4"/>
      <c r="J422" s="4">
        <v>0.462899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 x14ac:dyDescent="0.2">
      <c r="B423" s="4"/>
      <c r="C423" s="4"/>
      <c r="D423" s="4">
        <v>63.94</v>
      </c>
      <c r="E423" s="4"/>
      <c r="F423" s="4"/>
      <c r="G423" s="4"/>
      <c r="H423" s="4"/>
      <c r="I423" s="4"/>
      <c r="J423" s="4">
        <v>0.39357199999999998</v>
      </c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 x14ac:dyDescent="0.2">
      <c r="B424" s="4"/>
      <c r="C424" s="4">
        <v>3</v>
      </c>
      <c r="D424" s="4">
        <v>70.171999999999997</v>
      </c>
      <c r="E424" s="4">
        <v>144.75</v>
      </c>
      <c r="F424" s="4">
        <v>64</v>
      </c>
      <c r="G424" s="4">
        <v>0.44214199999999998</v>
      </c>
      <c r="H424" s="4">
        <v>0.462899</v>
      </c>
      <c r="I424" s="4"/>
      <c r="J424" s="4">
        <v>0.71997599999999995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 x14ac:dyDescent="0.2">
      <c r="B425" s="4"/>
      <c r="C425" s="4"/>
      <c r="D425" s="4">
        <v>74.578000000000003</v>
      </c>
      <c r="E425" s="4"/>
      <c r="F425" s="4"/>
      <c r="G425" s="4"/>
      <c r="H425" s="4"/>
      <c r="I425" s="4"/>
      <c r="J425" s="4">
        <v>0.70279999999999998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 x14ac:dyDescent="0.2">
      <c r="B426" s="4"/>
      <c r="C426" s="4"/>
      <c r="D426" s="4">
        <v>108.93300000000001</v>
      </c>
      <c r="E426" s="4">
        <v>206.75800000000001</v>
      </c>
      <c r="F426" s="4">
        <v>100</v>
      </c>
      <c r="G426" s="4">
        <v>0.483657</v>
      </c>
      <c r="H426" s="4"/>
      <c r="I426" s="4"/>
      <c r="J426" s="4">
        <v>0.57495799999999997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 x14ac:dyDescent="0.2">
      <c r="B427" s="4"/>
      <c r="C427" s="4"/>
      <c r="D427" s="4">
        <v>97.825000000000003</v>
      </c>
      <c r="E427" s="4"/>
      <c r="F427" s="4"/>
      <c r="G427" s="4"/>
      <c r="H427" s="4"/>
      <c r="I427" s="4"/>
      <c r="J427" s="4">
        <v>0.58616800000000002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 x14ac:dyDescent="0.2">
      <c r="B428" s="4"/>
      <c r="C428" s="4">
        <v>4</v>
      </c>
      <c r="D428" s="4">
        <v>100.498</v>
      </c>
      <c r="E428" s="4">
        <v>208.321</v>
      </c>
      <c r="F428" s="4">
        <v>73</v>
      </c>
      <c r="G428" s="4">
        <v>0.35042099999999998</v>
      </c>
      <c r="H428" s="4">
        <v>0.39357199999999998</v>
      </c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 x14ac:dyDescent="0.2">
      <c r="B429" s="4"/>
      <c r="C429" s="4"/>
      <c r="D429" s="4">
        <v>107.82299999999999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 x14ac:dyDescent="0.2">
      <c r="B430" s="4"/>
      <c r="C430" s="4"/>
      <c r="D430" s="4">
        <v>96.066000000000003</v>
      </c>
      <c r="E430" s="4">
        <v>176.31299999999999</v>
      </c>
      <c r="F430" s="4">
        <v>77</v>
      </c>
      <c r="G430" s="4">
        <v>0.43672299999999997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 x14ac:dyDescent="0.2">
      <c r="B431" s="4"/>
      <c r="C431" s="4"/>
      <c r="D431" s="4">
        <v>80.247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 x14ac:dyDescent="0.2">
      <c r="B432" s="4"/>
      <c r="C432" s="4">
        <v>5</v>
      </c>
      <c r="D432" s="4">
        <v>93.591999999999999</v>
      </c>
      <c r="E432" s="4">
        <v>135.172</v>
      </c>
      <c r="F432" s="4">
        <v>109</v>
      </c>
      <c r="G432" s="4">
        <v>0.80637999999999999</v>
      </c>
      <c r="H432" s="4">
        <v>0.71997599999999995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 x14ac:dyDescent="0.2">
      <c r="B433" s="4"/>
      <c r="C433" s="4"/>
      <c r="D433" s="4">
        <v>41.58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 x14ac:dyDescent="0.2">
      <c r="B434" s="4"/>
      <c r="C434" s="4"/>
      <c r="D434" s="4">
        <v>84.981999999999999</v>
      </c>
      <c r="E434" s="4">
        <v>143.63</v>
      </c>
      <c r="F434" s="4">
        <v>91</v>
      </c>
      <c r="G434" s="4">
        <v>0.63357200000000002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 x14ac:dyDescent="0.2">
      <c r="B435" s="4"/>
      <c r="C435" s="4"/>
      <c r="D435" s="4">
        <v>58.648000000000003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 x14ac:dyDescent="0.2">
      <c r="B436" s="4"/>
      <c r="C436" s="4">
        <v>6</v>
      </c>
      <c r="D436" s="4">
        <v>86.018000000000001</v>
      </c>
      <c r="E436" s="4">
        <v>159.75399999999999</v>
      </c>
      <c r="F436" s="4">
        <v>107</v>
      </c>
      <c r="G436" s="4">
        <v>0.66978000000000004</v>
      </c>
      <c r="H436" s="4">
        <v>0.70279999999999998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 x14ac:dyDescent="0.2">
      <c r="B437" s="4"/>
      <c r="C437" s="4"/>
      <c r="D437" s="4">
        <v>73.736000000000004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 x14ac:dyDescent="0.2">
      <c r="B438" s="4"/>
      <c r="C438" s="4"/>
      <c r="D438" s="4">
        <v>80.013999999999996</v>
      </c>
      <c r="E438" s="4">
        <v>153.57</v>
      </c>
      <c r="F438" s="4">
        <v>113</v>
      </c>
      <c r="G438" s="4">
        <v>0.73582099999999995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 x14ac:dyDescent="0.2">
      <c r="B439" s="4"/>
      <c r="C439" s="4"/>
      <c r="D439" s="4">
        <v>73.555999999999997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 x14ac:dyDescent="0.2">
      <c r="B440" s="4"/>
      <c r="C440" s="4">
        <v>7</v>
      </c>
      <c r="D440" s="4">
        <v>114.405</v>
      </c>
      <c r="E440" s="4">
        <v>226.56700000000001</v>
      </c>
      <c r="F440" s="4">
        <v>130</v>
      </c>
      <c r="G440" s="4">
        <v>0.57378200000000001</v>
      </c>
      <c r="H440" s="4">
        <v>0.57495799999999997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 x14ac:dyDescent="0.2">
      <c r="B441" s="4"/>
      <c r="C441" s="4"/>
      <c r="D441" s="4">
        <v>112.16200000000001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 x14ac:dyDescent="0.2">
      <c r="B442" s="4"/>
      <c r="C442" s="4"/>
      <c r="D442" s="4">
        <v>97.685000000000002</v>
      </c>
      <c r="E442" s="4">
        <v>189.19200000000001</v>
      </c>
      <c r="F442" s="4">
        <v>109</v>
      </c>
      <c r="G442" s="4">
        <v>0.57613400000000003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 x14ac:dyDescent="0.2">
      <c r="B443" s="4"/>
      <c r="C443" s="4"/>
      <c r="D443" s="4">
        <v>91.507000000000005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 x14ac:dyDescent="0.2">
      <c r="B444" s="4"/>
      <c r="C444" s="4">
        <v>8</v>
      </c>
      <c r="D444" s="4">
        <v>134.79599999999999</v>
      </c>
      <c r="E444" s="4">
        <v>260.93299999999999</v>
      </c>
      <c r="F444" s="4">
        <v>148</v>
      </c>
      <c r="G444" s="4">
        <v>0.567195</v>
      </c>
      <c r="H444" s="4">
        <v>0.58616800000000002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 x14ac:dyDescent="0.2">
      <c r="B445" s="4"/>
      <c r="C445" s="4"/>
      <c r="D445" s="4">
        <v>126.137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 x14ac:dyDescent="0.2">
      <c r="B446" s="4"/>
      <c r="C446" s="4"/>
      <c r="D446" s="4">
        <v>87.325000000000003</v>
      </c>
      <c r="E446" s="4">
        <v>185.08099999999999</v>
      </c>
      <c r="F446" s="4">
        <v>112</v>
      </c>
      <c r="G446" s="4">
        <v>0.60514000000000001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 x14ac:dyDescent="0.2">
      <c r="B447" s="4"/>
      <c r="C447" s="4"/>
      <c r="D447" s="4">
        <v>97.756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</sheetData>
  <mergeCells count="2">
    <mergeCell ref="C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F1D-194F-DE47-859A-5E2D9DC9545F}">
  <dimension ref="A2:S337"/>
  <sheetViews>
    <sheetView topLeftCell="B203" zoomScale="50" workbookViewId="0">
      <selection activeCell="A2" sqref="A2:G4"/>
    </sheetView>
  </sheetViews>
  <sheetFormatPr baseColWidth="10" defaultRowHeight="16" x14ac:dyDescent="0.2"/>
  <sheetData>
    <row r="2" spans="1:18" x14ac:dyDescent="0.2">
      <c r="A2" s="20"/>
      <c r="B2" s="18" t="s">
        <v>101</v>
      </c>
      <c r="C2" s="18"/>
      <c r="D2" s="18"/>
      <c r="E2" s="18" t="s">
        <v>122</v>
      </c>
      <c r="F2" s="18"/>
      <c r="G2" s="18"/>
    </row>
    <row r="3" spans="1:18" x14ac:dyDescent="0.2">
      <c r="A3" s="20"/>
      <c r="B3" s="11" t="s">
        <v>2</v>
      </c>
      <c r="C3" s="11" t="s">
        <v>3</v>
      </c>
      <c r="D3" s="11" t="s">
        <v>4</v>
      </c>
      <c r="E3" s="11" t="s">
        <v>2</v>
      </c>
      <c r="F3" s="11" t="s">
        <v>3</v>
      </c>
      <c r="G3" s="11" t="s">
        <v>4</v>
      </c>
    </row>
    <row r="4" spans="1:18" x14ac:dyDescent="0.2">
      <c r="A4" s="13" t="s">
        <v>123</v>
      </c>
      <c r="B4" s="12">
        <v>0.78693500000000005</v>
      </c>
      <c r="C4" s="12">
        <v>0.80065500000000001</v>
      </c>
      <c r="D4" s="12">
        <v>0.73920399999999997</v>
      </c>
      <c r="E4" s="12">
        <v>1.1836899999999999</v>
      </c>
      <c r="F4" s="12">
        <v>1.0803259999999999</v>
      </c>
      <c r="G4" s="12">
        <v>0.90548399999999996</v>
      </c>
    </row>
    <row r="7" spans="1:18" x14ac:dyDescent="0.2">
      <c r="A7" t="s">
        <v>2</v>
      </c>
    </row>
    <row r="8" spans="1:18" x14ac:dyDescent="0.2">
      <c r="A8" t="s">
        <v>124</v>
      </c>
    </row>
    <row r="9" spans="1:18" x14ac:dyDescent="0.2">
      <c r="A9" t="s">
        <v>125</v>
      </c>
      <c r="B9" t="s">
        <v>126</v>
      </c>
      <c r="C9" t="s">
        <v>127</v>
      </c>
      <c r="D9" t="s">
        <v>128</v>
      </c>
      <c r="E9" t="s">
        <v>129</v>
      </c>
      <c r="F9" t="s">
        <v>130</v>
      </c>
      <c r="G9" t="s">
        <v>131</v>
      </c>
      <c r="H9" t="s">
        <v>12</v>
      </c>
      <c r="O9" t="s">
        <v>124</v>
      </c>
      <c r="P9" t="s">
        <v>132</v>
      </c>
      <c r="Q9" t="s">
        <v>133</v>
      </c>
      <c r="R9" t="s">
        <v>134</v>
      </c>
    </row>
    <row r="10" spans="1:18" x14ac:dyDescent="0.2">
      <c r="A10">
        <v>1</v>
      </c>
      <c r="B10">
        <v>85.138000000000005</v>
      </c>
      <c r="C10">
        <v>138</v>
      </c>
      <c r="D10">
        <v>104.52200000000001</v>
      </c>
      <c r="E10">
        <v>145</v>
      </c>
      <c r="F10">
        <f>C10/B12</f>
        <v>0.91405256464603646</v>
      </c>
      <c r="G10">
        <f>E10/D12</f>
        <v>0.92362570864386262</v>
      </c>
      <c r="H10">
        <f>AVERAGE(F10:G10)</f>
        <v>0.91883913664494954</v>
      </c>
      <c r="O10">
        <v>0.91883913664494954</v>
      </c>
      <c r="P10">
        <v>0.94125224409250108</v>
      </c>
      <c r="Q10">
        <v>0.81408014395235151</v>
      </c>
      <c r="R10">
        <v>0.9204703684730744</v>
      </c>
    </row>
    <row r="11" spans="1:18" x14ac:dyDescent="0.2">
      <c r="B11">
        <v>65.837999999999994</v>
      </c>
      <c r="D11">
        <v>52.468000000000004</v>
      </c>
      <c r="K11">
        <v>0.91883913664494954</v>
      </c>
      <c r="M11" t="s">
        <v>12</v>
      </c>
      <c r="O11">
        <v>1.1026778958968262</v>
      </c>
      <c r="P11">
        <v>1.0594619311044662</v>
      </c>
      <c r="Q11">
        <v>0.8363628081221437</v>
      </c>
      <c r="R11">
        <v>1.4775441696989624</v>
      </c>
    </row>
    <row r="12" spans="1:18" x14ac:dyDescent="0.2">
      <c r="A12" t="s">
        <v>135</v>
      </c>
      <c r="B12">
        <f>SUM(B10:B11)</f>
        <v>150.976</v>
      </c>
      <c r="D12">
        <f>SUM(D10:D11)</f>
        <v>156.99</v>
      </c>
      <c r="K12">
        <v>1.1026778958968262</v>
      </c>
      <c r="M12" s="3">
        <f>AVERAGE(K11:K18)</f>
        <v>1.0116978660025362</v>
      </c>
      <c r="O12">
        <v>1.002526748245725</v>
      </c>
      <c r="P12">
        <v>0.78975816576697211</v>
      </c>
      <c r="Q12">
        <v>0.58850462071647447</v>
      </c>
      <c r="R12">
        <v>1.6369683362692058</v>
      </c>
    </row>
    <row r="13" spans="1:18" x14ac:dyDescent="0.2">
      <c r="A13">
        <v>2</v>
      </c>
      <c r="B13">
        <v>98.844999999999999</v>
      </c>
      <c r="C13">
        <v>270</v>
      </c>
      <c r="D13">
        <v>113.672</v>
      </c>
      <c r="E13">
        <v>157</v>
      </c>
      <c r="F13">
        <f>C13/B15</f>
        <v>1.2198372646730611</v>
      </c>
      <c r="G13">
        <f>E13/D15</f>
        <v>0.98551852712059118</v>
      </c>
      <c r="H13">
        <f>AVERAGE(F13:G13)</f>
        <v>1.1026778958968262</v>
      </c>
      <c r="K13">
        <v>1.002526748245725</v>
      </c>
      <c r="O13">
        <v>1.0402368949837648</v>
      </c>
      <c r="P13">
        <v>1.2853550827115194</v>
      </c>
      <c r="Q13">
        <v>0.73268022104974817</v>
      </c>
      <c r="R13">
        <v>1.9184726895068263</v>
      </c>
    </row>
    <row r="14" spans="1:18" x14ac:dyDescent="0.2">
      <c r="B14">
        <v>122.496</v>
      </c>
      <c r="D14">
        <v>45.634999999999998</v>
      </c>
      <c r="K14">
        <v>1.0402368949837648</v>
      </c>
      <c r="O14">
        <v>0.90356508388032752</v>
      </c>
      <c r="P14">
        <v>1.6177644832787985</v>
      </c>
      <c r="Q14">
        <v>0.74128563493106503</v>
      </c>
      <c r="R14">
        <v>1.8292354868097647</v>
      </c>
    </row>
    <row r="15" spans="1:18" x14ac:dyDescent="0.2">
      <c r="B15">
        <f>SUM(B13:B14)</f>
        <v>221.34100000000001</v>
      </c>
      <c r="D15">
        <f>SUM(D13:D14)</f>
        <v>159.30699999999999</v>
      </c>
      <c r="K15">
        <v>0.90356508388032752</v>
      </c>
      <c r="O15">
        <v>1.2408108403851621</v>
      </c>
      <c r="P15">
        <v>1.1371588514772255</v>
      </c>
      <c r="Q15">
        <v>0.77009516474192796</v>
      </c>
      <c r="R15">
        <v>0.6947040885073329</v>
      </c>
    </row>
    <row r="16" spans="1:18" x14ac:dyDescent="0.2">
      <c r="A16" s="1">
        <v>3</v>
      </c>
      <c r="B16" s="1">
        <v>141.74799999999999</v>
      </c>
      <c r="C16" s="1">
        <v>206</v>
      </c>
      <c r="D16" s="1">
        <v>136.91499999999999</v>
      </c>
      <c r="E16" s="1">
        <v>273</v>
      </c>
      <c r="F16" s="1">
        <f>C16/B18</f>
        <v>0.95169896745281934</v>
      </c>
      <c r="G16" s="1">
        <f>E16/D18</f>
        <v>1.0533545290386306</v>
      </c>
      <c r="H16" s="6">
        <f>AVERAGE(F16:G16)</f>
        <v>1.002526748245725</v>
      </c>
      <c r="K16">
        <v>1.2408108403851621</v>
      </c>
      <c r="O16">
        <v>1.072852985711868</v>
      </c>
      <c r="P16">
        <v>1.0058899400673456</v>
      </c>
      <c r="Q16">
        <v>1.0498433420293112</v>
      </c>
      <c r="R16">
        <v>1.8120930088079867</v>
      </c>
    </row>
    <row r="17" spans="1:18" x14ac:dyDescent="0.2">
      <c r="B17">
        <v>74.706999999999994</v>
      </c>
      <c r="D17">
        <v>122.25700000000001</v>
      </c>
      <c r="K17">
        <v>1.072852985711868</v>
      </c>
      <c r="O17">
        <v>0.81207334227166528</v>
      </c>
      <c r="P17">
        <v>1.3818708309506134</v>
      </c>
      <c r="Q17">
        <v>0.79558175286243316</v>
      </c>
      <c r="R17">
        <v>1.3807136771297563</v>
      </c>
    </row>
    <row r="18" spans="1:18" x14ac:dyDescent="0.2">
      <c r="B18">
        <f>SUM(B16:B17)</f>
        <v>216.45499999999998</v>
      </c>
      <c r="D18">
        <f>SUM(D16:D17)</f>
        <v>259.17200000000003</v>
      </c>
      <c r="K18">
        <v>0.81207334227166528</v>
      </c>
      <c r="Q18">
        <v>0.83682875593208061</v>
      </c>
      <c r="R18">
        <v>0.60564137970676735</v>
      </c>
    </row>
    <row r="19" spans="1:18" x14ac:dyDescent="0.2">
      <c r="A19">
        <v>4</v>
      </c>
      <c r="B19">
        <v>94.260999999999996</v>
      </c>
      <c r="C19">
        <v>130</v>
      </c>
      <c r="D19">
        <v>106.304</v>
      </c>
      <c r="E19">
        <v>224</v>
      </c>
      <c r="F19">
        <f>C19/B21</f>
        <v>0.95163498210194208</v>
      </c>
      <c r="G19">
        <f>E19/D21</f>
        <v>1.1288388078655875</v>
      </c>
      <c r="H19">
        <f>AVERAGE(F19:G19)</f>
        <v>1.0402368949837648</v>
      </c>
    </row>
    <row r="20" spans="1:18" x14ac:dyDescent="0.2">
      <c r="B20">
        <v>42.345999999999997</v>
      </c>
      <c r="D20">
        <v>92.13</v>
      </c>
    </row>
    <row r="21" spans="1:18" x14ac:dyDescent="0.2">
      <c r="B21">
        <f>SUM(B19:B20)</f>
        <v>136.607</v>
      </c>
      <c r="D21">
        <f>SUM(D19:D20)</f>
        <v>198.434</v>
      </c>
    </row>
    <row r="22" spans="1:18" x14ac:dyDescent="0.2">
      <c r="A22">
        <v>5</v>
      </c>
      <c r="B22">
        <v>104.02</v>
      </c>
      <c r="C22">
        <v>134</v>
      </c>
      <c r="D22">
        <v>74.935000000000002</v>
      </c>
      <c r="E22">
        <v>131</v>
      </c>
      <c r="F22">
        <f>C22/B24</f>
        <v>0.85163717714053289</v>
      </c>
      <c r="G22">
        <f>E22/D24</f>
        <v>0.95549299062012216</v>
      </c>
      <c r="H22">
        <f>AVERAGE(F22:G22)</f>
        <v>0.90356508388032752</v>
      </c>
    </row>
    <row r="23" spans="1:18" x14ac:dyDescent="0.2">
      <c r="B23">
        <v>53.323999999999998</v>
      </c>
      <c r="D23">
        <v>62.167000000000002</v>
      </c>
    </row>
    <row r="24" spans="1:18" x14ac:dyDescent="0.2">
      <c r="B24">
        <f>SUM(B22:B23)</f>
        <v>157.34399999999999</v>
      </c>
      <c r="D24">
        <f>SUM(D22:D23)</f>
        <v>137.102</v>
      </c>
    </row>
    <row r="25" spans="1:18" x14ac:dyDescent="0.2">
      <c r="A25">
        <v>6</v>
      </c>
      <c r="B25">
        <v>96.344999999999999</v>
      </c>
      <c r="C25">
        <v>199</v>
      </c>
      <c r="D25">
        <v>70.483000000000004</v>
      </c>
      <c r="E25">
        <v>202</v>
      </c>
      <c r="F25">
        <f>C25/B27</f>
        <v>1.2186085816988261</v>
      </c>
      <c r="G25">
        <f>E25/D27</f>
        <v>1.2630130990714978</v>
      </c>
      <c r="H25">
        <f>AVERAGE(F25:G25)</f>
        <v>1.2408108403851621</v>
      </c>
    </row>
    <row r="26" spans="1:18" x14ac:dyDescent="0.2">
      <c r="B26">
        <v>66.956000000000003</v>
      </c>
      <c r="D26">
        <v>89.451999999999998</v>
      </c>
    </row>
    <row r="27" spans="1:18" x14ac:dyDescent="0.2">
      <c r="B27">
        <f>SUM(B25:B26)</f>
        <v>163.30099999999999</v>
      </c>
      <c r="D27">
        <f>SUM(D25:D26)</f>
        <v>159.935</v>
      </c>
    </row>
    <row r="28" spans="1:18" x14ac:dyDescent="0.2">
      <c r="A28">
        <v>7</v>
      </c>
      <c r="B28">
        <v>111.801</v>
      </c>
      <c r="C28">
        <v>216</v>
      </c>
      <c r="D28">
        <v>141.006</v>
      </c>
      <c r="E28">
        <v>302</v>
      </c>
      <c r="F28">
        <f>C28/B30</f>
        <v>1.1088352609612986</v>
      </c>
      <c r="G28">
        <f>E28/D30</f>
        <v>1.0368707104624375</v>
      </c>
      <c r="H28">
        <f>AVERAGE(F28:G28)</f>
        <v>1.072852985711868</v>
      </c>
    </row>
    <row r="29" spans="1:18" x14ac:dyDescent="0.2">
      <c r="B29">
        <v>82.998000000000005</v>
      </c>
      <c r="D29">
        <v>150.255</v>
      </c>
    </row>
    <row r="30" spans="1:18" x14ac:dyDescent="0.2">
      <c r="B30">
        <f>SUM(B28:B29)</f>
        <v>194.79900000000001</v>
      </c>
      <c r="D30">
        <f>SUM(D28:D29)</f>
        <v>291.26099999999997</v>
      </c>
    </row>
    <row r="31" spans="1:18" x14ac:dyDescent="0.2">
      <c r="A31">
        <v>8</v>
      </c>
      <c r="B31">
        <v>149.76400000000001</v>
      </c>
      <c r="C31">
        <v>143</v>
      </c>
      <c r="D31">
        <v>91.653999999999996</v>
      </c>
      <c r="E31">
        <v>256</v>
      </c>
      <c r="F31">
        <f>C31/B33</f>
        <v>0.63484734806948695</v>
      </c>
      <c r="G31">
        <f>E31/D33</f>
        <v>0.98929933647384349</v>
      </c>
      <c r="H31">
        <f>AVERAGE(F31:G31)</f>
        <v>0.81207334227166528</v>
      </c>
    </row>
    <row r="32" spans="1:18" x14ac:dyDescent="0.2">
      <c r="B32">
        <v>75.486999999999995</v>
      </c>
      <c r="D32">
        <v>167.11500000000001</v>
      </c>
    </row>
    <row r="33" spans="1:13" x14ac:dyDescent="0.2">
      <c r="B33">
        <f>SUM(B31:B32)</f>
        <v>225.251</v>
      </c>
      <c r="D33">
        <f>SUM(D31:D32)</f>
        <v>258.76900000000001</v>
      </c>
    </row>
    <row r="34" spans="1:13" x14ac:dyDescent="0.2">
      <c r="A34" t="s">
        <v>136</v>
      </c>
    </row>
    <row r="35" spans="1:13" x14ac:dyDescent="0.2">
      <c r="A35">
        <v>1</v>
      </c>
      <c r="B35">
        <v>102.22</v>
      </c>
      <c r="C35">
        <v>183</v>
      </c>
      <c r="D35">
        <v>106.38</v>
      </c>
      <c r="E35">
        <v>173</v>
      </c>
      <c r="F35">
        <f>C35/B37</f>
        <v>0.8948699015643109</v>
      </c>
      <c r="G35">
        <f>E35/D37</f>
        <v>0.98763458662069126</v>
      </c>
      <c r="H35">
        <f>AVERAGE(F35:G35)</f>
        <v>0.94125224409250108</v>
      </c>
    </row>
    <row r="36" spans="1:13" x14ac:dyDescent="0.2">
      <c r="B36">
        <v>102.279</v>
      </c>
      <c r="D36">
        <v>68.786000000000001</v>
      </c>
    </row>
    <row r="37" spans="1:13" x14ac:dyDescent="0.2">
      <c r="B37">
        <f>SUM(B35:B36)</f>
        <v>204.499</v>
      </c>
      <c r="D37">
        <f>SUM(D35:D36)</f>
        <v>175.166</v>
      </c>
    </row>
    <row r="38" spans="1:13" x14ac:dyDescent="0.2">
      <c r="A38">
        <v>2</v>
      </c>
      <c r="B38">
        <v>85.212999999999994</v>
      </c>
      <c r="C38">
        <v>196</v>
      </c>
      <c r="D38">
        <v>80.403999999999996</v>
      </c>
      <c r="E38">
        <v>173</v>
      </c>
      <c r="F38">
        <f>C38/B40</f>
        <v>0.93282250196321059</v>
      </c>
      <c r="G38">
        <f>E38/D40</f>
        <v>1.1861013602457218</v>
      </c>
      <c r="H38">
        <f>AVERAGE(F38:G38)</f>
        <v>1.0594619311044662</v>
      </c>
      <c r="K38">
        <v>0.94125224409250108</v>
      </c>
    </row>
    <row r="39" spans="1:13" x14ac:dyDescent="0.2">
      <c r="B39">
        <v>124.902</v>
      </c>
      <c r="D39">
        <v>65.451999999999998</v>
      </c>
      <c r="K39">
        <v>1.0594619311044662</v>
      </c>
      <c r="M39" s="3">
        <f>AVERAGE(K38:K45)</f>
        <v>1.1523139411811802</v>
      </c>
    </row>
    <row r="40" spans="1:13" x14ac:dyDescent="0.2">
      <c r="B40">
        <f>SUM(B38:B39)</f>
        <v>210.11500000000001</v>
      </c>
      <c r="D40">
        <f>SUM(D38:D39)</f>
        <v>145.85599999999999</v>
      </c>
      <c r="K40">
        <v>0.78975816576697211</v>
      </c>
    </row>
    <row r="41" spans="1:13" x14ac:dyDescent="0.2">
      <c r="A41">
        <v>3</v>
      </c>
      <c r="B41">
        <v>139.30500000000001</v>
      </c>
      <c r="C41">
        <v>215</v>
      </c>
      <c r="D41">
        <v>125.791</v>
      </c>
      <c r="E41">
        <v>198</v>
      </c>
      <c r="F41">
        <f>C41/B43</f>
        <v>0.78807983431996043</v>
      </c>
      <c r="G41">
        <f>E41/D43</f>
        <v>0.79143649721398368</v>
      </c>
      <c r="H41">
        <f>AVERAGE(F41:G41)</f>
        <v>0.78975816576697211</v>
      </c>
      <c r="K41">
        <v>1.2853550827115194</v>
      </c>
    </row>
    <row r="42" spans="1:13" x14ac:dyDescent="0.2">
      <c r="B42">
        <v>133.51</v>
      </c>
      <c r="D42">
        <v>124.387</v>
      </c>
      <c r="K42">
        <v>1.6177644832787985</v>
      </c>
    </row>
    <row r="43" spans="1:13" x14ac:dyDescent="0.2">
      <c r="B43">
        <f>SUM(B41:B42)</f>
        <v>272.815</v>
      </c>
      <c r="D43">
        <f>SUM(D41:D42)</f>
        <v>250.178</v>
      </c>
      <c r="K43">
        <v>1.1371588514772255</v>
      </c>
    </row>
    <row r="44" spans="1:13" x14ac:dyDescent="0.2">
      <c r="A44" s="1">
        <v>4</v>
      </c>
      <c r="B44" s="1">
        <v>158.49299999999999</v>
      </c>
      <c r="C44" s="1">
        <v>400</v>
      </c>
      <c r="D44" s="1">
        <v>118.03700000000001</v>
      </c>
      <c r="E44" s="1">
        <v>235</v>
      </c>
      <c r="F44" s="1">
        <f>C44/B46</f>
        <v>1.4180374361883155</v>
      </c>
      <c r="G44" s="1">
        <f>E44/D46</f>
        <v>1.1526727292347232</v>
      </c>
      <c r="H44" s="1">
        <f>AVERAGE(F44:G44)</f>
        <v>1.2853550827115194</v>
      </c>
      <c r="K44">
        <v>1.0058899400673456</v>
      </c>
    </row>
    <row r="45" spans="1:13" x14ac:dyDescent="0.2">
      <c r="B45">
        <v>123.587</v>
      </c>
      <c r="D45">
        <v>85.837000000000003</v>
      </c>
      <c r="K45">
        <v>1.3818708309506134</v>
      </c>
    </row>
    <row r="46" spans="1:13" x14ac:dyDescent="0.2">
      <c r="B46">
        <f>SUM(B44:B45)</f>
        <v>282.08</v>
      </c>
      <c r="D46">
        <f>SUM(D44:D45)</f>
        <v>203.87400000000002</v>
      </c>
    </row>
    <row r="47" spans="1:13" x14ac:dyDescent="0.2">
      <c r="A47" s="1">
        <v>5</v>
      </c>
      <c r="B47" s="1">
        <v>96.965000000000003</v>
      </c>
      <c r="C47" s="1">
        <v>222</v>
      </c>
      <c r="D47" s="1">
        <v>58.484999999999999</v>
      </c>
      <c r="E47" s="1">
        <v>168</v>
      </c>
      <c r="F47" s="1">
        <f>C47/B49</f>
        <v>1.5467473019013847</v>
      </c>
      <c r="G47" s="1">
        <f>E47/D49</f>
        <v>1.6887816646562124</v>
      </c>
      <c r="H47" s="7">
        <f>AVERAGE(F47:G47)</f>
        <v>1.6177644832787985</v>
      </c>
    </row>
    <row r="48" spans="1:13" x14ac:dyDescent="0.2">
      <c r="B48">
        <v>46.561999999999998</v>
      </c>
      <c r="D48">
        <v>40.994999999999997</v>
      </c>
      <c r="H48" s="8"/>
    </row>
    <row r="49" spans="1:8" x14ac:dyDescent="0.2">
      <c r="B49">
        <f>SUM(B47:B48)</f>
        <v>143.52699999999999</v>
      </c>
      <c r="D49">
        <f>SUM(D47:D48)</f>
        <v>99.47999999999999</v>
      </c>
      <c r="H49" s="8"/>
    </row>
    <row r="50" spans="1:8" x14ac:dyDescent="0.2">
      <c r="A50">
        <v>6</v>
      </c>
      <c r="B50">
        <v>162.214</v>
      </c>
      <c r="C50">
        <v>361</v>
      </c>
      <c r="D50">
        <v>124.649</v>
      </c>
      <c r="E50">
        <v>254</v>
      </c>
      <c r="F50">
        <f>C50/B52</f>
        <v>1.0614556349768745</v>
      </c>
      <c r="G50">
        <f>E50/D52</f>
        <v>1.2128620679775763</v>
      </c>
      <c r="H50" s="9">
        <f>AVERAGE(F50:G50)</f>
        <v>1.1371588514772255</v>
      </c>
    </row>
    <row r="51" spans="1:8" x14ac:dyDescent="0.2">
      <c r="B51">
        <v>177.88499999999999</v>
      </c>
      <c r="D51">
        <v>84.772999999999996</v>
      </c>
      <c r="H51" s="8"/>
    </row>
    <row r="52" spans="1:8" x14ac:dyDescent="0.2">
      <c r="B52">
        <f>SUM(B50:B51)</f>
        <v>340.09899999999999</v>
      </c>
      <c r="D52">
        <f>SUM(D50:D51)</f>
        <v>209.422</v>
      </c>
      <c r="H52" s="8"/>
    </row>
    <row r="53" spans="1:8" x14ac:dyDescent="0.2">
      <c r="A53">
        <v>7</v>
      </c>
      <c r="B53">
        <v>89.159000000000006</v>
      </c>
      <c r="C53">
        <v>243</v>
      </c>
      <c r="D53">
        <v>58.741</v>
      </c>
      <c r="E53">
        <v>137</v>
      </c>
      <c r="F53">
        <f>C53/B55</f>
        <v>1.0833125289774956</v>
      </c>
      <c r="G53">
        <f>E53/D55</f>
        <v>0.92846735115719559</v>
      </c>
      <c r="H53" s="8">
        <f>AVERAGE(F53:G53)</f>
        <v>1.0058899400673456</v>
      </c>
    </row>
    <row r="54" spans="1:8" x14ac:dyDescent="0.2">
      <c r="B54">
        <v>135.15299999999999</v>
      </c>
      <c r="D54">
        <v>88.813999999999993</v>
      </c>
      <c r="H54" s="8"/>
    </row>
    <row r="55" spans="1:8" x14ac:dyDescent="0.2">
      <c r="B55">
        <f>SUM(B53:B54)</f>
        <v>224.31200000000001</v>
      </c>
      <c r="D55">
        <f>SUM(D53:D54)</f>
        <v>147.55500000000001</v>
      </c>
      <c r="H55" s="8"/>
    </row>
    <row r="56" spans="1:8" x14ac:dyDescent="0.2">
      <c r="A56" s="1">
        <v>8</v>
      </c>
      <c r="B56" s="1">
        <v>167.809</v>
      </c>
      <c r="C56" s="1">
        <v>313</v>
      </c>
      <c r="D56" s="1">
        <v>179.17699999999999</v>
      </c>
      <c r="E56" s="1">
        <v>366</v>
      </c>
      <c r="F56" s="1">
        <f>C56/B58</f>
        <v>1.2878697482276362</v>
      </c>
      <c r="G56" s="1">
        <f>E56/D58</f>
        <v>1.4758719136735905</v>
      </c>
      <c r="H56" s="7">
        <f>AVERAGE(F56:G56)</f>
        <v>1.3818708309506134</v>
      </c>
    </row>
    <row r="57" spans="1:8" x14ac:dyDescent="0.2">
      <c r="B57">
        <v>75.227999999999994</v>
      </c>
      <c r="D57">
        <v>68.811999999999998</v>
      </c>
    </row>
    <row r="58" spans="1:8" x14ac:dyDescent="0.2">
      <c r="B58">
        <f>SUM(B56:B57)</f>
        <v>243.03699999999998</v>
      </c>
      <c r="D58">
        <f>SUM(D56:D57)</f>
        <v>247.98899999999998</v>
      </c>
    </row>
    <row r="59" spans="1:8" x14ac:dyDescent="0.2">
      <c r="A59" t="s">
        <v>133</v>
      </c>
    </row>
    <row r="60" spans="1:8" x14ac:dyDescent="0.2">
      <c r="A60">
        <v>1</v>
      </c>
      <c r="B60">
        <v>182.95</v>
      </c>
      <c r="C60">
        <v>233</v>
      </c>
      <c r="D60">
        <v>157.267</v>
      </c>
      <c r="E60">
        <v>188</v>
      </c>
      <c r="F60">
        <f>C60/B62</f>
        <v>0.84498358991096845</v>
      </c>
      <c r="G60">
        <f>E60/D62</f>
        <v>0.78317669799373457</v>
      </c>
      <c r="H60">
        <f>AVERAGE(F60:G60)</f>
        <v>0.81408014395235151</v>
      </c>
    </row>
    <row r="61" spans="1:8" x14ac:dyDescent="0.2">
      <c r="B61">
        <v>92.795000000000002</v>
      </c>
      <c r="D61">
        <v>82.781000000000006</v>
      </c>
    </row>
    <row r="62" spans="1:8" x14ac:dyDescent="0.2">
      <c r="B62">
        <f>SUM(B60:B61)</f>
        <v>275.745</v>
      </c>
      <c r="D62">
        <f>SUM(D60:D61)</f>
        <v>240.048</v>
      </c>
    </row>
    <row r="63" spans="1:8" x14ac:dyDescent="0.2">
      <c r="A63">
        <v>2</v>
      </c>
      <c r="B63">
        <v>141.40700000000001</v>
      </c>
      <c r="C63">
        <v>182</v>
      </c>
      <c r="D63">
        <v>137.49600000000001</v>
      </c>
      <c r="E63">
        <v>240</v>
      </c>
      <c r="F63">
        <f>C63/B65</f>
        <v>0.81281569180887214</v>
      </c>
      <c r="G63">
        <f>E63/D65</f>
        <v>0.85990992443541525</v>
      </c>
      <c r="H63">
        <f>AVERAGE(F63:G63)</f>
        <v>0.8363628081221437</v>
      </c>
    </row>
    <row r="64" spans="1:8" x14ac:dyDescent="0.2">
      <c r="B64">
        <v>82.506</v>
      </c>
      <c r="D64">
        <v>141.60300000000001</v>
      </c>
    </row>
    <row r="65" spans="1:13" x14ac:dyDescent="0.2">
      <c r="B65">
        <f>SUM(B63:B64)</f>
        <v>223.91300000000001</v>
      </c>
      <c r="D65">
        <f>SUM(D63:D64)</f>
        <v>279.09900000000005</v>
      </c>
    </row>
    <row r="66" spans="1:13" x14ac:dyDescent="0.2">
      <c r="A66">
        <v>3</v>
      </c>
      <c r="B66">
        <v>133.99100000000001</v>
      </c>
      <c r="C66">
        <v>142</v>
      </c>
      <c r="D66">
        <v>151.21899999999999</v>
      </c>
      <c r="E66">
        <v>114</v>
      </c>
      <c r="F66">
        <f>C66/B68</f>
        <v>0.66405720244859401</v>
      </c>
      <c r="G66">
        <f>E66/D68</f>
        <v>0.51295203898435493</v>
      </c>
      <c r="H66" s="3">
        <f>AVERAGE(F66:G66)</f>
        <v>0.58850462071647447</v>
      </c>
    </row>
    <row r="67" spans="1:13" x14ac:dyDescent="0.2">
      <c r="B67">
        <v>79.846000000000004</v>
      </c>
      <c r="D67">
        <v>71.024000000000001</v>
      </c>
      <c r="K67">
        <v>0.81408014395235151</v>
      </c>
    </row>
    <row r="68" spans="1:13" x14ac:dyDescent="0.2">
      <c r="B68">
        <f>SUM(B66:B67)</f>
        <v>213.83700000000002</v>
      </c>
      <c r="D68">
        <f>SUM(D66:D67)</f>
        <v>222.24299999999999</v>
      </c>
      <c r="K68">
        <v>0.8363628081221437</v>
      </c>
    </row>
    <row r="69" spans="1:13" x14ac:dyDescent="0.2">
      <c r="A69" s="1">
        <v>4</v>
      </c>
      <c r="B69" s="1">
        <v>128.506</v>
      </c>
      <c r="C69" s="1">
        <v>158</v>
      </c>
      <c r="D69" s="1">
        <v>72.168999999999997</v>
      </c>
      <c r="E69" s="1">
        <v>116</v>
      </c>
      <c r="F69" s="1">
        <f>C69/B71</f>
        <v>0.72510658607887135</v>
      </c>
      <c r="G69" s="1">
        <f>E69/D71</f>
        <v>0.74025385602062499</v>
      </c>
      <c r="H69" s="7">
        <f>AVERAGE(F69:G69)</f>
        <v>0.73268022104974817</v>
      </c>
      <c r="K69">
        <v>0.58850462071647447</v>
      </c>
      <c r="M69" s="3">
        <f>AVERAGE(K67:K75)</f>
        <v>0.79614027159305956</v>
      </c>
    </row>
    <row r="70" spans="1:13" x14ac:dyDescent="0.2">
      <c r="B70">
        <v>89.393000000000001</v>
      </c>
      <c r="D70">
        <v>84.534000000000006</v>
      </c>
      <c r="H70" s="8"/>
      <c r="K70">
        <v>0.73268022104974817</v>
      </c>
    </row>
    <row r="71" spans="1:13" x14ac:dyDescent="0.2">
      <c r="B71">
        <f>SUM(B69:B70)</f>
        <v>217.899</v>
      </c>
      <c r="D71">
        <f>SUM(D69:D70)</f>
        <v>156.703</v>
      </c>
      <c r="H71" s="8"/>
      <c r="K71">
        <v>0.74128563493106503</v>
      </c>
    </row>
    <row r="72" spans="1:13" x14ac:dyDescent="0.2">
      <c r="A72">
        <v>5</v>
      </c>
      <c r="B72">
        <v>127.30500000000001</v>
      </c>
      <c r="C72">
        <v>172</v>
      </c>
      <c r="D72">
        <v>100.75700000000001</v>
      </c>
      <c r="E72">
        <v>127</v>
      </c>
      <c r="F72">
        <f>C72/B74</f>
        <v>0.7217368681655294</v>
      </c>
      <c r="G72">
        <f>E72/D74</f>
        <v>0.76083440169660066</v>
      </c>
      <c r="H72" s="8">
        <f>AVERAGE(F72:G72)</f>
        <v>0.74128563493106503</v>
      </c>
      <c r="K72">
        <v>0.77009516474192796</v>
      </c>
    </row>
    <row r="73" spans="1:13" x14ac:dyDescent="0.2">
      <c r="B73">
        <v>111.009</v>
      </c>
      <c r="D73">
        <v>66.165000000000006</v>
      </c>
      <c r="H73" s="8"/>
      <c r="K73">
        <v>1.0498433420293112</v>
      </c>
    </row>
    <row r="74" spans="1:13" x14ac:dyDescent="0.2">
      <c r="B74">
        <f>SUM(B72:B73)</f>
        <v>238.31400000000002</v>
      </c>
      <c r="D74">
        <f>SUM(D72:D73)</f>
        <v>166.92200000000003</v>
      </c>
      <c r="H74" s="8"/>
      <c r="K74">
        <v>0.79558175286243316</v>
      </c>
    </row>
    <row r="75" spans="1:13" x14ac:dyDescent="0.2">
      <c r="A75">
        <v>6</v>
      </c>
      <c r="B75">
        <v>94.875</v>
      </c>
      <c r="C75">
        <v>134</v>
      </c>
      <c r="D75">
        <v>75.222999999999999</v>
      </c>
      <c r="E75">
        <v>129</v>
      </c>
      <c r="F75">
        <f>C75/B77</f>
        <v>0.62054849077049901</v>
      </c>
      <c r="G75">
        <f>E75/D77</f>
        <v>0.91964183871335692</v>
      </c>
      <c r="H75">
        <f>AVERAGE(F75:G75)</f>
        <v>0.77009516474192796</v>
      </c>
      <c r="K75">
        <v>0.83682875593208061</v>
      </c>
    </row>
    <row r="76" spans="1:13" x14ac:dyDescent="0.2">
      <c r="B76">
        <v>121.063</v>
      </c>
      <c r="D76">
        <v>65.049000000000007</v>
      </c>
    </row>
    <row r="77" spans="1:13" x14ac:dyDescent="0.2">
      <c r="B77">
        <f>SUM(B75:B76)</f>
        <v>215.93799999999999</v>
      </c>
      <c r="D77">
        <f>SUM(D75:D76)</f>
        <v>140.27199999999999</v>
      </c>
    </row>
    <row r="78" spans="1:13" x14ac:dyDescent="0.2">
      <c r="A78">
        <v>7</v>
      </c>
      <c r="B78">
        <v>117.434</v>
      </c>
      <c r="C78">
        <v>185</v>
      </c>
      <c r="D78">
        <v>71.811000000000007</v>
      </c>
      <c r="E78">
        <v>155</v>
      </c>
      <c r="F78">
        <f>C78/B80</f>
        <v>0.99683706294083108</v>
      </c>
      <c r="G78">
        <f>E78/D80</f>
        <v>1.1028496211177914</v>
      </c>
      <c r="H78">
        <f>AVERAGE(F78:G78)</f>
        <v>1.0498433420293112</v>
      </c>
    </row>
    <row r="79" spans="1:13" x14ac:dyDescent="0.2">
      <c r="B79">
        <v>68.153000000000006</v>
      </c>
      <c r="D79">
        <v>68.733999999999995</v>
      </c>
    </row>
    <row r="80" spans="1:13" x14ac:dyDescent="0.2">
      <c r="B80">
        <f>SUM(B78:B79)</f>
        <v>185.58699999999999</v>
      </c>
      <c r="D80">
        <f>SUM(D78:D79)</f>
        <v>140.54500000000002</v>
      </c>
    </row>
    <row r="81" spans="1:13" x14ac:dyDescent="0.2">
      <c r="A81">
        <v>8</v>
      </c>
      <c r="B81">
        <v>125.40300000000001</v>
      </c>
      <c r="C81">
        <v>171</v>
      </c>
      <c r="D81">
        <v>71.707999999999998</v>
      </c>
      <c r="E81">
        <v>83</v>
      </c>
      <c r="F81">
        <f>C81/B83</f>
        <v>0.87659491574948867</v>
      </c>
      <c r="G81">
        <f>E81/D83</f>
        <v>0.71456858997537753</v>
      </c>
      <c r="H81">
        <f>AVERAGE(F81:G81)</f>
        <v>0.79558175286243316</v>
      </c>
    </row>
    <row r="82" spans="1:13" x14ac:dyDescent="0.2">
      <c r="B82">
        <v>69.67</v>
      </c>
      <c r="D82">
        <v>44.445999999999998</v>
      </c>
    </row>
    <row r="83" spans="1:13" x14ac:dyDescent="0.2">
      <c r="B83">
        <f>SUM(B81:B82)</f>
        <v>195.07300000000001</v>
      </c>
      <c r="D83">
        <f>SUM(D81:D82)</f>
        <v>116.154</v>
      </c>
    </row>
    <row r="84" spans="1:13" x14ac:dyDescent="0.2">
      <c r="A84">
        <v>9</v>
      </c>
      <c r="B84">
        <v>101.58799999999999</v>
      </c>
      <c r="C84">
        <v>156</v>
      </c>
      <c r="D84">
        <v>104.048</v>
      </c>
      <c r="E84">
        <v>137</v>
      </c>
      <c r="F84">
        <f>C84/B86</f>
        <v>0.85797254487856378</v>
      </c>
      <c r="G84">
        <f>E84/D86</f>
        <v>0.81568496698559756</v>
      </c>
      <c r="H84">
        <f>AVERAGE(F84:G84)</f>
        <v>0.83682875593208061</v>
      </c>
    </row>
    <row r="85" spans="1:13" x14ac:dyDescent="0.2">
      <c r="B85">
        <v>80.236000000000004</v>
      </c>
      <c r="D85">
        <v>63.908999999999999</v>
      </c>
    </row>
    <row r="86" spans="1:13" x14ac:dyDescent="0.2">
      <c r="B86">
        <f>SUM(B84:B85)</f>
        <v>181.82400000000001</v>
      </c>
      <c r="D86">
        <f>SUM(D84:D85)</f>
        <v>167.95699999999999</v>
      </c>
    </row>
    <row r="88" spans="1:13" x14ac:dyDescent="0.2">
      <c r="A88" t="s">
        <v>134</v>
      </c>
    </row>
    <row r="89" spans="1:13" x14ac:dyDescent="0.2">
      <c r="A89">
        <v>1</v>
      </c>
      <c r="B89">
        <v>107.8</v>
      </c>
      <c r="C89">
        <v>180</v>
      </c>
      <c r="D89">
        <v>49.948</v>
      </c>
      <c r="E89">
        <v>221</v>
      </c>
      <c r="F89">
        <f>C89/B91</f>
        <v>0.86622168537865929</v>
      </c>
      <c r="G89">
        <f>E89/D91</f>
        <v>0.97471905156748939</v>
      </c>
      <c r="H89">
        <f>AVERAGE(F89:G89)</f>
        <v>0.9204703684730744</v>
      </c>
    </row>
    <row r="90" spans="1:13" x14ac:dyDescent="0.2">
      <c r="B90">
        <v>99.998999999999995</v>
      </c>
      <c r="D90">
        <v>176.78399999999999</v>
      </c>
    </row>
    <row r="91" spans="1:13" x14ac:dyDescent="0.2">
      <c r="B91">
        <f>SUM(B89:B90)</f>
        <v>207.79899999999998</v>
      </c>
      <c r="D91">
        <f>SUM(D89:D90)</f>
        <v>226.732</v>
      </c>
      <c r="H91" s="8"/>
      <c r="K91">
        <v>0.9204703684730744</v>
      </c>
    </row>
    <row r="92" spans="1:13" x14ac:dyDescent="0.2">
      <c r="A92">
        <v>2</v>
      </c>
      <c r="B92">
        <v>119.96</v>
      </c>
      <c r="C92">
        <v>246</v>
      </c>
      <c r="D92">
        <v>138.53</v>
      </c>
      <c r="E92">
        <v>319</v>
      </c>
      <c r="F92">
        <f>C92/B94</f>
        <v>1.4357585591053941</v>
      </c>
      <c r="G92">
        <f>E92/D94</f>
        <v>1.5193297802925305</v>
      </c>
      <c r="H92" s="9">
        <f>AVERAGE(F92:G92)</f>
        <v>1.4775441696989624</v>
      </c>
      <c r="K92">
        <v>1.4775441696989624</v>
      </c>
      <c r="M92" s="3">
        <f>AVERAGE(K91:K99)</f>
        <v>1.3639825783232975</v>
      </c>
    </row>
    <row r="93" spans="1:13" x14ac:dyDescent="0.2">
      <c r="B93">
        <v>51.378</v>
      </c>
      <c r="D93">
        <v>71.430999999999997</v>
      </c>
      <c r="H93" s="8"/>
      <c r="K93">
        <v>1.6369683362692058</v>
      </c>
    </row>
    <row r="94" spans="1:13" x14ac:dyDescent="0.2">
      <c r="B94">
        <f>SUM(B92:B93)</f>
        <v>171.33799999999999</v>
      </c>
      <c r="D94">
        <f>SUM(D92:D93)</f>
        <v>209.96100000000001</v>
      </c>
      <c r="H94" s="8"/>
      <c r="K94">
        <v>1.9184726895068263</v>
      </c>
    </row>
    <row r="95" spans="1:13" x14ac:dyDescent="0.2">
      <c r="A95">
        <v>3</v>
      </c>
      <c r="B95">
        <v>119.259</v>
      </c>
      <c r="C95">
        <v>317</v>
      </c>
      <c r="D95">
        <v>178.06100000000001</v>
      </c>
      <c r="E95">
        <v>379</v>
      </c>
      <c r="F95">
        <f>C95/B97</f>
        <v>1.7613068118679853</v>
      </c>
      <c r="G95">
        <f>E95/D97</f>
        <v>1.5126298606704263</v>
      </c>
      <c r="H95" s="8">
        <f>AVERAGE(F95:G95)</f>
        <v>1.6369683362692058</v>
      </c>
      <c r="K95">
        <v>1.8292354868097647</v>
      </c>
    </row>
    <row r="96" spans="1:13" x14ac:dyDescent="0.2">
      <c r="B96">
        <v>60.720999999999997</v>
      </c>
      <c r="D96">
        <v>72.495999999999995</v>
      </c>
      <c r="H96" s="8"/>
      <c r="K96">
        <v>0.6947040885073329</v>
      </c>
    </row>
    <row r="97" spans="1:11" x14ac:dyDescent="0.2">
      <c r="B97">
        <f>SUM(B95:B96)</f>
        <v>179.98</v>
      </c>
      <c r="D97">
        <f>SUM(D95:D96)</f>
        <v>250.55700000000002</v>
      </c>
      <c r="H97" s="8"/>
      <c r="K97">
        <v>1.8120930088079867</v>
      </c>
    </row>
    <row r="98" spans="1:11" x14ac:dyDescent="0.2">
      <c r="A98" s="1">
        <v>4</v>
      </c>
      <c r="B98" s="1">
        <v>150.05799999999999</v>
      </c>
      <c r="C98" s="1">
        <v>472</v>
      </c>
      <c r="D98" s="1">
        <v>121.449</v>
      </c>
      <c r="E98" s="1">
        <v>333</v>
      </c>
      <c r="F98" s="1">
        <f>C98/B100</f>
        <v>1.8963972470097594</v>
      </c>
      <c r="G98" s="1">
        <f>E98/D100</f>
        <v>1.9405481320038929</v>
      </c>
      <c r="H98" s="7">
        <f>AVERAGE(F98:G98)</f>
        <v>1.9184726895068263</v>
      </c>
      <c r="K98">
        <v>1.3807136771297563</v>
      </c>
    </row>
    <row r="99" spans="1:11" x14ac:dyDescent="0.2">
      <c r="B99">
        <v>98.834999999999994</v>
      </c>
      <c r="D99">
        <v>50.152000000000001</v>
      </c>
      <c r="H99" s="8"/>
      <c r="K99">
        <v>0.60564137970676735</v>
      </c>
    </row>
    <row r="100" spans="1:11" x14ac:dyDescent="0.2">
      <c r="B100">
        <f>SUM(B98:B99)</f>
        <v>248.89299999999997</v>
      </c>
      <c r="D100">
        <f>SUM(D98:D99)</f>
        <v>171.601</v>
      </c>
      <c r="H100" s="8"/>
    </row>
    <row r="101" spans="1:11" x14ac:dyDescent="0.2">
      <c r="A101">
        <v>5</v>
      </c>
      <c r="B101">
        <v>120.901</v>
      </c>
      <c r="C101">
        <v>332</v>
      </c>
      <c r="D101">
        <v>99.971000000000004</v>
      </c>
      <c r="E101">
        <v>340</v>
      </c>
      <c r="F101">
        <f>C101/B103</f>
        <v>1.7019967703073335</v>
      </c>
      <c r="G101">
        <f>E101/D103</f>
        <v>1.9564742033121956</v>
      </c>
      <c r="H101" s="8">
        <f>AVERAGE(F101:G101)</f>
        <v>1.8292354868097647</v>
      </c>
    </row>
    <row r="102" spans="1:11" x14ac:dyDescent="0.2">
      <c r="B102">
        <v>74.164000000000001</v>
      </c>
      <c r="D102">
        <v>73.811000000000007</v>
      </c>
      <c r="H102" s="8"/>
    </row>
    <row r="103" spans="1:11" x14ac:dyDescent="0.2">
      <c r="B103">
        <f>SUM(B101:B102)</f>
        <v>195.065</v>
      </c>
      <c r="D103">
        <f>SUM(D101:D102)</f>
        <v>173.78200000000001</v>
      </c>
      <c r="H103" s="8"/>
    </row>
    <row r="104" spans="1:11" x14ac:dyDescent="0.2">
      <c r="A104">
        <v>6</v>
      </c>
      <c r="B104">
        <v>84.075999999999993</v>
      </c>
      <c r="C104">
        <v>79</v>
      </c>
      <c r="D104">
        <v>138.81800000000001</v>
      </c>
      <c r="E104">
        <v>166</v>
      </c>
      <c r="F104">
        <f>C104/B106</f>
        <v>0.71614406280311482</v>
      </c>
      <c r="G104">
        <f>E104/D106</f>
        <v>0.67326411421155097</v>
      </c>
      <c r="H104" s="8">
        <f>AVERAGE(F104:G104)</f>
        <v>0.6947040885073329</v>
      </c>
    </row>
    <row r="105" spans="1:11" x14ac:dyDescent="0.2">
      <c r="B105">
        <v>26.236999999999998</v>
      </c>
      <c r="D105">
        <v>107.742</v>
      </c>
      <c r="H105" s="8"/>
    </row>
    <row r="106" spans="1:11" x14ac:dyDescent="0.2">
      <c r="B106">
        <f>SUM(B104:B105)</f>
        <v>110.31299999999999</v>
      </c>
      <c r="D106">
        <f>SUM(D104:D105)</f>
        <v>246.56</v>
      </c>
      <c r="H106" s="8"/>
    </row>
    <row r="107" spans="1:11" x14ac:dyDescent="0.2">
      <c r="A107" s="1">
        <v>7</v>
      </c>
      <c r="B107" s="1">
        <v>125.145</v>
      </c>
      <c r="C107" s="1">
        <v>401</v>
      </c>
      <c r="D107" s="1">
        <v>108.858</v>
      </c>
      <c r="E107" s="1">
        <v>298</v>
      </c>
      <c r="F107" s="1">
        <f>C107/B109</f>
        <v>1.726870273715398</v>
      </c>
      <c r="G107" s="1">
        <f>E107/D109</f>
        <v>1.8973157439005752</v>
      </c>
      <c r="H107" s="7">
        <f>AVERAGE(F107:G107)</f>
        <v>1.8120930088079867</v>
      </c>
    </row>
    <row r="108" spans="1:11" x14ac:dyDescent="0.2">
      <c r="B108">
        <v>107.06699999999999</v>
      </c>
      <c r="D108">
        <v>48.206000000000003</v>
      </c>
    </row>
    <row r="109" spans="1:11" x14ac:dyDescent="0.2">
      <c r="B109">
        <f>SUM(B107:B108)</f>
        <v>232.21199999999999</v>
      </c>
      <c r="D109">
        <f>SUM(D107:D108)</f>
        <v>157.06400000000002</v>
      </c>
    </row>
    <row r="110" spans="1:11" x14ac:dyDescent="0.2">
      <c r="A110">
        <v>8</v>
      </c>
      <c r="B110">
        <v>148.35599999999999</v>
      </c>
      <c r="C110">
        <v>336</v>
      </c>
      <c r="D110">
        <v>119.794</v>
      </c>
      <c r="E110">
        <v>232</v>
      </c>
      <c r="F110">
        <f>C110/B112</f>
        <v>1.389969056641239</v>
      </c>
      <c r="G110">
        <f>E110/D112</f>
        <v>1.3714582976182734</v>
      </c>
      <c r="H110">
        <f>AVERAGE(F110:G110)</f>
        <v>1.3807136771297563</v>
      </c>
    </row>
    <row r="111" spans="1:11" x14ac:dyDescent="0.2">
      <c r="B111">
        <v>93.376000000000005</v>
      </c>
      <c r="D111">
        <v>49.369</v>
      </c>
    </row>
    <row r="112" spans="1:11" x14ac:dyDescent="0.2">
      <c r="B112">
        <f>SUM(B110:B111)</f>
        <v>241.732</v>
      </c>
      <c r="D112">
        <f>SUM(D110:D111)</f>
        <v>169.16300000000001</v>
      </c>
    </row>
    <row r="113" spans="1:19" x14ac:dyDescent="0.2">
      <c r="A113">
        <v>9</v>
      </c>
      <c r="B113">
        <v>103.54600000000001</v>
      </c>
      <c r="C113">
        <v>95</v>
      </c>
      <c r="D113">
        <v>126.559</v>
      </c>
      <c r="E113">
        <v>157</v>
      </c>
      <c r="F113">
        <f>C113/B115</f>
        <v>0.53324053077078515</v>
      </c>
      <c r="G113">
        <f>E113/D115</f>
        <v>0.67804222864274954</v>
      </c>
      <c r="H113">
        <f>AVERAGE(F113:G113)</f>
        <v>0.60564137970676735</v>
      </c>
    </row>
    <row r="114" spans="1:19" x14ac:dyDescent="0.2">
      <c r="B114">
        <v>74.61</v>
      </c>
      <c r="D114">
        <v>104.99</v>
      </c>
    </row>
    <row r="115" spans="1:19" x14ac:dyDescent="0.2">
      <c r="B115">
        <f>SUM(B113:B114)</f>
        <v>178.15600000000001</v>
      </c>
      <c r="D115">
        <f>SUM(D113:D114)</f>
        <v>231.54899999999998</v>
      </c>
    </row>
    <row r="118" spans="1:19" x14ac:dyDescent="0.2">
      <c r="A118" t="s">
        <v>137</v>
      </c>
    </row>
    <row r="119" spans="1:19" x14ac:dyDescent="0.2">
      <c r="A119" t="s">
        <v>138</v>
      </c>
    </row>
    <row r="120" spans="1:19" x14ac:dyDescent="0.2">
      <c r="A120" t="s">
        <v>125</v>
      </c>
      <c r="B120" t="s">
        <v>126</v>
      </c>
      <c r="C120" t="s">
        <v>127</v>
      </c>
      <c r="D120" t="s">
        <v>128</v>
      </c>
      <c r="E120" t="s">
        <v>129</v>
      </c>
      <c r="F120" t="s">
        <v>130</v>
      </c>
      <c r="G120" t="s">
        <v>131</v>
      </c>
      <c r="H120" t="s">
        <v>12</v>
      </c>
      <c r="P120" t="s">
        <v>136</v>
      </c>
      <c r="Q120" t="s">
        <v>134</v>
      </c>
      <c r="R120" t="s">
        <v>124</v>
      </c>
      <c r="S120" t="s">
        <v>133</v>
      </c>
    </row>
    <row r="121" spans="1:19" x14ac:dyDescent="0.2">
      <c r="A121">
        <v>1</v>
      </c>
      <c r="B121">
        <v>102.545</v>
      </c>
      <c r="C121">
        <v>208</v>
      </c>
      <c r="D121">
        <v>93.454999999999998</v>
      </c>
      <c r="E121">
        <v>195</v>
      </c>
      <c r="F121">
        <f>C121/B123</f>
        <v>1.1532362692806688</v>
      </c>
      <c r="G121">
        <f>E121/D123</f>
        <v>0.85253355484632531</v>
      </c>
      <c r="H121">
        <f>AVERAGE(F121:G121)</f>
        <v>1.0028849120634971</v>
      </c>
      <c r="P121">
        <v>1.0028849120634971</v>
      </c>
      <c r="Q121">
        <v>1.0765618771743761</v>
      </c>
      <c r="R121">
        <v>1.1002462117722291</v>
      </c>
      <c r="S121">
        <v>0.75912586881659605</v>
      </c>
    </row>
    <row r="122" spans="1:19" x14ac:dyDescent="0.2">
      <c r="B122">
        <v>77.816999999999993</v>
      </c>
      <c r="D122">
        <v>135.27500000000001</v>
      </c>
      <c r="P122">
        <v>1.3270260407770214</v>
      </c>
      <c r="Q122">
        <v>1.5735775584282194</v>
      </c>
      <c r="R122">
        <v>1.0417808344587711</v>
      </c>
      <c r="S122">
        <v>0.84675824287987789</v>
      </c>
    </row>
    <row r="123" spans="1:19" x14ac:dyDescent="0.2">
      <c r="A123" t="s">
        <v>139</v>
      </c>
      <c r="B123">
        <f>SUM(B121:B122)</f>
        <v>180.36199999999999</v>
      </c>
      <c r="D123">
        <f>SUM(D121:D122)</f>
        <v>228.73000000000002</v>
      </c>
      <c r="P123">
        <v>1.4282433320102754</v>
      </c>
      <c r="Q123">
        <v>1.3961352911909604</v>
      </c>
      <c r="R123">
        <v>0.92177017312881704</v>
      </c>
      <c r="S123">
        <v>0.73755821497773488</v>
      </c>
    </row>
    <row r="124" spans="1:19" x14ac:dyDescent="0.2">
      <c r="A124">
        <v>2</v>
      </c>
      <c r="B124">
        <v>150.21700000000001</v>
      </c>
      <c r="C124">
        <v>345</v>
      </c>
      <c r="D124">
        <v>171.05</v>
      </c>
      <c r="E124">
        <v>363</v>
      </c>
      <c r="F124">
        <f>C124/B126</f>
        <v>1.4215256060025463</v>
      </c>
      <c r="G124">
        <f>E124/D126</f>
        <v>1.2325264755514962</v>
      </c>
      <c r="H124">
        <f>AVERAGE(F124:G124)</f>
        <v>1.3270260407770214</v>
      </c>
      <c r="P124">
        <v>1.3437085372995363</v>
      </c>
      <c r="Q124">
        <v>1.5508531674475581</v>
      </c>
      <c r="R124">
        <v>0.80560484053242853</v>
      </c>
      <c r="S124">
        <v>0.62322246192989028</v>
      </c>
    </row>
    <row r="125" spans="1:19" x14ac:dyDescent="0.2">
      <c r="B125">
        <v>92.48</v>
      </c>
      <c r="D125">
        <v>123.467</v>
      </c>
      <c r="P125">
        <v>1.271399759067231</v>
      </c>
      <c r="Q125">
        <v>1.3972382399074614</v>
      </c>
      <c r="R125">
        <v>0.88465774506415151</v>
      </c>
      <c r="S125">
        <v>0.91302370826072943</v>
      </c>
    </row>
    <row r="126" spans="1:19" x14ac:dyDescent="0.2">
      <c r="B126">
        <f>SUM(B124:B125)</f>
        <v>242.697</v>
      </c>
      <c r="D126">
        <f>SUM(D124:D125)</f>
        <v>294.517</v>
      </c>
      <c r="P126">
        <v>1.2410620618352597</v>
      </c>
      <c r="Q126">
        <v>1.3901434629129761</v>
      </c>
      <c r="R126">
        <v>1.2679721580466405</v>
      </c>
      <c r="S126">
        <v>0.95577956442714407</v>
      </c>
    </row>
    <row r="127" spans="1:19" x14ac:dyDescent="0.2">
      <c r="A127" s="1">
        <v>3</v>
      </c>
      <c r="B127" s="1">
        <v>68.209999999999994</v>
      </c>
      <c r="C127" s="1">
        <v>164</v>
      </c>
      <c r="D127" s="1">
        <v>102.768</v>
      </c>
      <c r="E127" s="1">
        <v>192</v>
      </c>
      <c r="F127" s="1">
        <f>C127/B129</f>
        <v>1.6067876982766223</v>
      </c>
      <c r="G127" s="1">
        <f>E127/D129</f>
        <v>1.2496989657439288</v>
      </c>
      <c r="H127" s="1">
        <f>AVERAGE(F127:G127)</f>
        <v>1.4282433320102754</v>
      </c>
      <c r="J127">
        <v>1.0028849120634971</v>
      </c>
      <c r="M127" s="3">
        <f>AVERAGE(J127:J134)</f>
        <v>1.28962105583534</v>
      </c>
      <c r="P127">
        <v>1.2007728216685467</v>
      </c>
      <c r="Q127">
        <v>1.5252821038885405</v>
      </c>
      <c r="R127">
        <v>0.98604212522413937</v>
      </c>
      <c r="S127">
        <v>0.84616135948927085</v>
      </c>
    </row>
    <row r="128" spans="1:19" x14ac:dyDescent="0.2">
      <c r="B128">
        <v>33.856999999999999</v>
      </c>
      <c r="D128">
        <v>50.869</v>
      </c>
      <c r="J128">
        <v>1.3270260407770214</v>
      </c>
      <c r="P128">
        <v>1.5018709819613516</v>
      </c>
      <c r="Q128">
        <v>1.2358987450611216</v>
      </c>
      <c r="R128">
        <v>1.0788859338680221</v>
      </c>
      <c r="S128">
        <v>0.79323333432283838</v>
      </c>
    </row>
    <row r="129" spans="1:10" x14ac:dyDescent="0.2">
      <c r="B129">
        <f>SUM(B127:B128)</f>
        <v>102.06699999999999</v>
      </c>
      <c r="D129">
        <f>SUM(D127:D128)</f>
        <v>153.637</v>
      </c>
      <c r="J129">
        <v>1.4282433320102754</v>
      </c>
    </row>
    <row r="130" spans="1:10" x14ac:dyDescent="0.2">
      <c r="A130">
        <v>4</v>
      </c>
      <c r="B130">
        <v>100.923</v>
      </c>
      <c r="C130">
        <v>291</v>
      </c>
      <c r="D130">
        <v>123.279</v>
      </c>
      <c r="E130">
        <v>237</v>
      </c>
      <c r="F130">
        <f>C130/B132</f>
        <v>1.4553201704374961</v>
      </c>
      <c r="G130">
        <f>E130/D132</f>
        <v>1.2320969041615764</v>
      </c>
      <c r="H130">
        <f>AVERAGE(F130:G130)</f>
        <v>1.3437085372995363</v>
      </c>
      <c r="J130">
        <v>1.3437085372995363</v>
      </c>
    </row>
    <row r="131" spans="1:10" x14ac:dyDescent="0.2">
      <c r="B131">
        <v>99.033000000000001</v>
      </c>
      <c r="D131">
        <v>69.075999999999993</v>
      </c>
      <c r="J131">
        <v>1.271399759067231</v>
      </c>
    </row>
    <row r="132" spans="1:10" x14ac:dyDescent="0.2">
      <c r="B132">
        <f>SUM(B130:B131)</f>
        <v>199.95600000000002</v>
      </c>
      <c r="D132">
        <f>SUM(D130:D131)</f>
        <v>192.35499999999999</v>
      </c>
      <c r="J132">
        <v>1.2410620618352597</v>
      </c>
    </row>
    <row r="133" spans="1:10" x14ac:dyDescent="0.2">
      <c r="A133">
        <v>5</v>
      </c>
      <c r="B133">
        <v>128.047</v>
      </c>
      <c r="C133">
        <v>259</v>
      </c>
      <c r="D133">
        <v>81.647999999999996</v>
      </c>
      <c r="E133">
        <v>231</v>
      </c>
      <c r="F133">
        <f>C133/B135</f>
        <v>1.2727522899713017</v>
      </c>
      <c r="G133">
        <f>E133/D135</f>
        <v>1.2700472281631601</v>
      </c>
      <c r="H133">
        <f>AVERAGE(F133:G133)</f>
        <v>1.271399759067231</v>
      </c>
      <c r="J133">
        <v>1.2007728216685467</v>
      </c>
    </row>
    <row r="134" spans="1:10" x14ac:dyDescent="0.2">
      <c r="B134">
        <v>75.448999999999998</v>
      </c>
      <c r="D134">
        <v>100.235</v>
      </c>
      <c r="J134">
        <v>1.5018709819613516</v>
      </c>
    </row>
    <row r="135" spans="1:10" x14ac:dyDescent="0.2">
      <c r="B135">
        <f>SUM(B133:B134)</f>
        <v>203.49599999999998</v>
      </c>
      <c r="D135">
        <f>SUM(D133:D134)</f>
        <v>181.88299999999998</v>
      </c>
    </row>
    <row r="136" spans="1:10" x14ac:dyDescent="0.2">
      <c r="A136">
        <v>6</v>
      </c>
      <c r="B136">
        <v>156.50800000000001</v>
      </c>
      <c r="C136">
        <v>286</v>
      </c>
      <c r="D136">
        <v>79.912999999999997</v>
      </c>
      <c r="E136">
        <v>176</v>
      </c>
      <c r="F136">
        <f>C136/B138</f>
        <v>1.2093534610342931</v>
      </c>
      <c r="G136">
        <f>E136/D138</f>
        <v>1.2727706626362263</v>
      </c>
      <c r="H136">
        <f>AVERAGE(F136:G136)</f>
        <v>1.2410620618352597</v>
      </c>
    </row>
    <row r="137" spans="1:10" x14ac:dyDescent="0.2">
      <c r="B137">
        <v>79.981999999999999</v>
      </c>
      <c r="D137">
        <v>58.368000000000002</v>
      </c>
    </row>
    <row r="138" spans="1:10" x14ac:dyDescent="0.2">
      <c r="B138">
        <f>SUM(B136:B137)</f>
        <v>236.49</v>
      </c>
      <c r="D138">
        <f>SUM(D136:D137)</f>
        <v>138.28100000000001</v>
      </c>
    </row>
    <row r="139" spans="1:10" x14ac:dyDescent="0.2">
      <c r="A139">
        <v>7</v>
      </c>
      <c r="B139">
        <v>92.789000000000001</v>
      </c>
      <c r="C139">
        <v>210</v>
      </c>
      <c r="D139">
        <v>134.249</v>
      </c>
      <c r="E139">
        <v>375</v>
      </c>
      <c r="F139">
        <f>C139/B141</f>
        <v>1.3761738435224806</v>
      </c>
      <c r="G139">
        <f>E139/D141</f>
        <v>1.0253717998146128</v>
      </c>
      <c r="H139">
        <f>AVERAGE(F139:G139)</f>
        <v>1.2007728216685467</v>
      </c>
    </row>
    <row r="140" spans="1:10" x14ac:dyDescent="0.2">
      <c r="B140">
        <v>59.808</v>
      </c>
      <c r="D140">
        <v>231.47200000000001</v>
      </c>
    </row>
    <row r="141" spans="1:10" x14ac:dyDescent="0.2">
      <c r="B141">
        <f>SUM(B139:B140)</f>
        <v>152.59700000000001</v>
      </c>
      <c r="D141">
        <f>SUM(D139:D140)</f>
        <v>365.721</v>
      </c>
    </row>
    <row r="142" spans="1:10" x14ac:dyDescent="0.2">
      <c r="A142" s="1">
        <v>8</v>
      </c>
      <c r="B142" s="1">
        <v>135.04499999999999</v>
      </c>
      <c r="C142" s="1">
        <v>375</v>
      </c>
      <c r="D142" s="1">
        <v>167.42099999999999</v>
      </c>
      <c r="E142" s="1">
        <v>298</v>
      </c>
      <c r="F142" s="1">
        <f>C142/B144</f>
        <v>1.6180112699878326</v>
      </c>
      <c r="G142" s="1">
        <f>E142/D144</f>
        <v>1.3857306939348708</v>
      </c>
      <c r="H142" s="1">
        <f>AVERAGE(F142:G142)</f>
        <v>1.5018709819613516</v>
      </c>
    </row>
    <row r="143" spans="1:10" x14ac:dyDescent="0.2">
      <c r="B143">
        <v>96.721000000000004</v>
      </c>
      <c r="D143">
        <v>47.628</v>
      </c>
    </row>
    <row r="144" spans="1:10" x14ac:dyDescent="0.2">
      <c r="B144">
        <f>SUM(B142:B143)</f>
        <v>231.76599999999999</v>
      </c>
      <c r="D144">
        <f>SUM(D142:D143)</f>
        <v>215.04899999999998</v>
      </c>
    </row>
    <row r="146" spans="1:13" x14ac:dyDescent="0.2">
      <c r="A146" t="s">
        <v>140</v>
      </c>
    </row>
    <row r="147" spans="1:13" x14ac:dyDescent="0.2">
      <c r="A147">
        <v>1</v>
      </c>
      <c r="B147">
        <v>125.93300000000001</v>
      </c>
      <c r="C147">
        <v>327</v>
      </c>
      <c r="D147">
        <v>161.53</v>
      </c>
      <c r="E147">
        <v>440</v>
      </c>
      <c r="F147">
        <f>C147/B149</f>
        <v>0.78446236739707231</v>
      </c>
      <c r="G147">
        <f>E147/D149</f>
        <v>1.3686613869516802</v>
      </c>
      <c r="H147">
        <f>AVERAGE(F147:G147)</f>
        <v>1.0765618771743761</v>
      </c>
    </row>
    <row r="148" spans="1:13" x14ac:dyDescent="0.2">
      <c r="B148">
        <v>290.91300000000001</v>
      </c>
      <c r="D148">
        <v>159.952</v>
      </c>
    </row>
    <row r="149" spans="1:13" x14ac:dyDescent="0.2">
      <c r="B149">
        <f>SUM(B147:B148)</f>
        <v>416.846</v>
      </c>
      <c r="D149">
        <f>SUM(D147:D148)</f>
        <v>321.48199999999997</v>
      </c>
    </row>
    <row r="150" spans="1:13" x14ac:dyDescent="0.2">
      <c r="A150" s="1">
        <v>2</v>
      </c>
      <c r="B150" s="1">
        <v>81.23</v>
      </c>
      <c r="C150" s="1">
        <v>230</v>
      </c>
      <c r="D150" s="1">
        <v>100.943</v>
      </c>
      <c r="E150" s="1">
        <v>309</v>
      </c>
      <c r="F150" s="1">
        <f>C150/B152</f>
        <v>1.8371780944469294</v>
      </c>
      <c r="G150" s="1">
        <f>E150/D152</f>
        <v>1.3099770224095098</v>
      </c>
      <c r="H150" s="1">
        <f>AVERAGE(F150:G150)</f>
        <v>1.5735775584282194</v>
      </c>
    </row>
    <row r="151" spans="1:13" x14ac:dyDescent="0.2">
      <c r="B151">
        <v>43.962000000000003</v>
      </c>
      <c r="D151">
        <v>134.93899999999999</v>
      </c>
    </row>
    <row r="152" spans="1:13" x14ac:dyDescent="0.2">
      <c r="B152">
        <f>SUM(B150:B151)</f>
        <v>125.19200000000001</v>
      </c>
      <c r="D152">
        <f>SUM(D150:D151)</f>
        <v>235.88200000000001</v>
      </c>
    </row>
    <row r="153" spans="1:13" x14ac:dyDescent="0.2">
      <c r="A153" s="1">
        <v>3</v>
      </c>
      <c r="B153" s="1">
        <v>167.13300000000001</v>
      </c>
      <c r="C153" s="1">
        <v>333</v>
      </c>
      <c r="D153" s="1">
        <v>150.79300000000001</v>
      </c>
      <c r="E153" s="1">
        <v>350</v>
      </c>
      <c r="F153" s="1">
        <f>C153/B155</f>
        <v>1.4394148972958019</v>
      </c>
      <c r="G153" s="1">
        <f>E153/D155</f>
        <v>1.3528556850861191</v>
      </c>
      <c r="H153" s="1">
        <f>AVERAGE(F153:G153)</f>
        <v>1.3961352911909604</v>
      </c>
      <c r="J153">
        <v>1.0765618771743761</v>
      </c>
      <c r="M153" s="3">
        <f>AVERAGE(J153:J160)</f>
        <v>1.3932113057514017</v>
      </c>
    </row>
    <row r="154" spans="1:13" x14ac:dyDescent="0.2">
      <c r="B154">
        <v>64.210999999999999</v>
      </c>
      <c r="D154">
        <v>107.919</v>
      </c>
      <c r="J154">
        <v>1.5735775584282194</v>
      </c>
    </row>
    <row r="155" spans="1:13" x14ac:dyDescent="0.2">
      <c r="B155">
        <f>SUM(B153:B154)</f>
        <v>231.34399999999999</v>
      </c>
      <c r="D155">
        <f>SUM(D153:D154)</f>
        <v>258.71199999999999</v>
      </c>
      <c r="J155">
        <v>1.3961352911909604</v>
      </c>
    </row>
    <row r="156" spans="1:13" x14ac:dyDescent="0.2">
      <c r="A156" s="1">
        <v>4</v>
      </c>
      <c r="B156" s="1">
        <v>109.45699999999999</v>
      </c>
      <c r="C156" s="1">
        <v>293</v>
      </c>
      <c r="D156" s="1">
        <v>93.521000000000001</v>
      </c>
      <c r="E156" s="1">
        <v>302</v>
      </c>
      <c r="F156" s="1">
        <f>C156/B158</f>
        <v>1.5265664238748737</v>
      </c>
      <c r="G156" s="1">
        <f>E156/D158</f>
        <v>1.5751399110202422</v>
      </c>
      <c r="H156" s="1">
        <f>AVERAGE(F156:G156)</f>
        <v>1.5508531674475581</v>
      </c>
      <c r="J156">
        <v>1.5508531674475581</v>
      </c>
    </row>
    <row r="157" spans="1:13" x14ac:dyDescent="0.2">
      <c r="B157">
        <v>82.477000000000004</v>
      </c>
      <c r="D157">
        <v>98.207999999999998</v>
      </c>
      <c r="J157">
        <v>1.3972382399074614</v>
      </c>
    </row>
    <row r="158" spans="1:13" x14ac:dyDescent="0.2">
      <c r="B158">
        <f>SUM(B156:B157)</f>
        <v>191.934</v>
      </c>
      <c r="D158">
        <f>SUM(D156:D157)</f>
        <v>191.72899999999998</v>
      </c>
      <c r="J158">
        <v>1.3901434629129761</v>
      </c>
    </row>
    <row r="159" spans="1:13" x14ac:dyDescent="0.2">
      <c r="A159" s="1">
        <v>5</v>
      </c>
      <c r="B159" s="1">
        <v>93.956000000000003</v>
      </c>
      <c r="C159" s="1">
        <v>254</v>
      </c>
      <c r="D159" s="1">
        <v>75.736000000000004</v>
      </c>
      <c r="E159" s="1">
        <v>214</v>
      </c>
      <c r="F159" s="1">
        <f>C159/B161</f>
        <v>1.1741972466461414</v>
      </c>
      <c r="G159" s="1">
        <f>E159/D161</f>
        <v>1.6202792331687814</v>
      </c>
      <c r="H159" s="1">
        <f>AVERAGE(F159:G159)</f>
        <v>1.3972382399074614</v>
      </c>
      <c r="J159">
        <v>1.5252821038885405</v>
      </c>
    </row>
    <row r="160" spans="1:13" x14ac:dyDescent="0.2">
      <c r="B160">
        <v>122.36199999999999</v>
      </c>
      <c r="D160">
        <v>56.34</v>
      </c>
      <c r="J160">
        <v>1.2358987450611216</v>
      </c>
    </row>
    <row r="161" spans="1:8" x14ac:dyDescent="0.2">
      <c r="B161">
        <f>SUM(B159:B160)</f>
        <v>216.31799999999998</v>
      </c>
      <c r="D161">
        <f>SUM(D159:D160)</f>
        <v>132.07600000000002</v>
      </c>
    </row>
    <row r="162" spans="1:8" x14ac:dyDescent="0.2">
      <c r="A162" s="1">
        <v>6</v>
      </c>
      <c r="B162" s="1">
        <v>134.76599999999999</v>
      </c>
      <c r="C162" s="1">
        <v>245</v>
      </c>
      <c r="D162" s="1">
        <v>104.491</v>
      </c>
      <c r="E162" s="1">
        <v>304</v>
      </c>
      <c r="F162" s="1">
        <f>C162/B164</f>
        <v>1.3244388703887906</v>
      </c>
      <c r="G162" s="1">
        <f>E162/D164</f>
        <v>1.4558480554371616</v>
      </c>
      <c r="H162" s="1">
        <f>AVERAGE(F162:G162)</f>
        <v>1.3901434629129761</v>
      </c>
    </row>
    <row r="163" spans="1:8" x14ac:dyDescent="0.2">
      <c r="B163">
        <v>50.218000000000004</v>
      </c>
      <c r="D163">
        <v>104.322</v>
      </c>
    </row>
    <row r="164" spans="1:8" x14ac:dyDescent="0.2">
      <c r="B164">
        <f>SUM(B162:B163)</f>
        <v>184.98399999999998</v>
      </c>
      <c r="D164">
        <f>SUM(D162:D163)</f>
        <v>208.81299999999999</v>
      </c>
    </row>
    <row r="165" spans="1:8" x14ac:dyDescent="0.2">
      <c r="A165" s="1">
        <v>7</v>
      </c>
      <c r="B165" s="1">
        <v>79.103999999999999</v>
      </c>
      <c r="C165" s="1">
        <v>185</v>
      </c>
      <c r="D165" s="1">
        <v>95.040999999999997</v>
      </c>
      <c r="E165" s="1">
        <v>325</v>
      </c>
      <c r="F165" s="1">
        <f>C165/B167</f>
        <v>1.3557285025429069</v>
      </c>
      <c r="G165" s="1">
        <f>E165/D167</f>
        <v>1.694835705234174</v>
      </c>
      <c r="H165" s="1">
        <f>AVERAGE(F165:G165)</f>
        <v>1.5252821038885405</v>
      </c>
    </row>
    <row r="166" spans="1:8" x14ac:dyDescent="0.2">
      <c r="B166">
        <v>57.353999999999999</v>
      </c>
      <c r="D166">
        <v>96.718000000000004</v>
      </c>
    </row>
    <row r="167" spans="1:8" x14ac:dyDescent="0.2">
      <c r="B167">
        <f>SUM(B165:B166)</f>
        <v>136.458</v>
      </c>
      <c r="D167">
        <f>SUM(D165:D166)</f>
        <v>191.75900000000001</v>
      </c>
    </row>
    <row r="168" spans="1:8" x14ac:dyDescent="0.2">
      <c r="A168">
        <v>8</v>
      </c>
      <c r="B168">
        <v>158.46700000000001</v>
      </c>
      <c r="C168">
        <v>194</v>
      </c>
      <c r="D168">
        <v>139.471</v>
      </c>
      <c r="E168">
        <v>366</v>
      </c>
      <c r="F168">
        <f>C168/B170</f>
        <v>0.93652395135868383</v>
      </c>
      <c r="G168">
        <f>E168/D170</f>
        <v>1.5352735387635594</v>
      </c>
      <c r="H168">
        <f>AVERAGE(F168:G168)</f>
        <v>1.2358987450611216</v>
      </c>
    </row>
    <row r="169" spans="1:8" x14ac:dyDescent="0.2">
      <c r="B169">
        <v>48.682000000000002</v>
      </c>
      <c r="D169">
        <v>98.923000000000002</v>
      </c>
    </row>
    <row r="170" spans="1:8" x14ac:dyDescent="0.2">
      <c r="B170">
        <f>SUM(B168:B169)</f>
        <v>207.149</v>
      </c>
      <c r="D170">
        <f>SUM(D168:D169)</f>
        <v>238.39400000000001</v>
      </c>
    </row>
    <row r="172" spans="1:8" x14ac:dyDescent="0.2">
      <c r="A172" t="s">
        <v>141</v>
      </c>
    </row>
    <row r="173" spans="1:8" x14ac:dyDescent="0.2">
      <c r="A173">
        <v>1</v>
      </c>
      <c r="B173">
        <v>128.05600000000001</v>
      </c>
      <c r="C173">
        <v>229</v>
      </c>
      <c r="D173">
        <v>94.965000000000003</v>
      </c>
      <c r="E173">
        <v>187</v>
      </c>
      <c r="F173">
        <f>C173/B175</f>
        <v>1.1060931726519669</v>
      </c>
      <c r="G173">
        <f>E173/D175</f>
        <v>1.0943992508924913</v>
      </c>
      <c r="H173">
        <f>AVERAGE(F173:G173)</f>
        <v>1.1002462117722291</v>
      </c>
    </row>
    <row r="174" spans="1:8" x14ac:dyDescent="0.2">
      <c r="B174">
        <v>78.978999999999999</v>
      </c>
      <c r="D174">
        <v>75.905000000000001</v>
      </c>
    </row>
    <row r="175" spans="1:8" x14ac:dyDescent="0.2">
      <c r="B175">
        <f>SUM(B173:B174)</f>
        <v>207.03500000000003</v>
      </c>
      <c r="D175">
        <f>SUM(D173:D174)</f>
        <v>170.87</v>
      </c>
    </row>
    <row r="176" spans="1:8" x14ac:dyDescent="0.2">
      <c r="A176" s="1">
        <v>2</v>
      </c>
      <c r="B176" s="1">
        <v>107.851</v>
      </c>
      <c r="C176" s="1">
        <v>176</v>
      </c>
      <c r="D176" s="1">
        <v>103.515</v>
      </c>
      <c r="E176" s="1">
        <v>239</v>
      </c>
      <c r="F176" s="1">
        <f>C176/B178</f>
        <v>1.0424440574765745</v>
      </c>
      <c r="G176" s="1">
        <f>E176/D178</f>
        <v>1.0411176114409677</v>
      </c>
      <c r="H176" s="1">
        <f>AVERAGE(F176:G176)</f>
        <v>1.0417808344587711</v>
      </c>
    </row>
    <row r="177" spans="1:13" x14ac:dyDescent="0.2">
      <c r="B177">
        <v>60.982999999999997</v>
      </c>
      <c r="D177">
        <v>126.04600000000001</v>
      </c>
    </row>
    <row r="178" spans="1:13" x14ac:dyDescent="0.2">
      <c r="B178">
        <f>SUM(B176:B177)</f>
        <v>168.834</v>
      </c>
      <c r="D178">
        <f>SUM(D176:D177)</f>
        <v>229.56100000000001</v>
      </c>
    </row>
    <row r="179" spans="1:13" x14ac:dyDescent="0.2">
      <c r="A179" s="1">
        <v>3</v>
      </c>
      <c r="B179" s="1">
        <v>137.149</v>
      </c>
      <c r="C179" s="1">
        <v>188</v>
      </c>
      <c r="D179" s="1">
        <v>93.073999999999998</v>
      </c>
      <c r="E179" s="1">
        <v>203</v>
      </c>
      <c r="F179" s="1">
        <f>C179/B181</f>
        <v>0.85063254483919426</v>
      </c>
      <c r="G179" s="1">
        <f>E179/D181</f>
        <v>0.99290780141843982</v>
      </c>
      <c r="H179" s="1">
        <f>AVERAGE(F179:G179)</f>
        <v>0.92177017312881704</v>
      </c>
    </row>
    <row r="180" spans="1:13" x14ac:dyDescent="0.2">
      <c r="B180">
        <v>83.863</v>
      </c>
      <c r="D180">
        <v>111.376</v>
      </c>
    </row>
    <row r="181" spans="1:13" x14ac:dyDescent="0.2">
      <c r="B181">
        <f>SUM(B179:B180)</f>
        <v>221.012</v>
      </c>
      <c r="D181">
        <f>SUM(D179:D180)</f>
        <v>204.45</v>
      </c>
    </row>
    <row r="182" spans="1:13" x14ac:dyDescent="0.2">
      <c r="A182">
        <v>4</v>
      </c>
      <c r="B182">
        <v>98.221999999999994</v>
      </c>
      <c r="C182">
        <v>206</v>
      </c>
      <c r="D182">
        <v>72.861999999999995</v>
      </c>
      <c r="E182">
        <v>144</v>
      </c>
      <c r="F182">
        <f>C182/B184</f>
        <v>0.991452333281996</v>
      </c>
      <c r="G182">
        <f>E182/D184</f>
        <v>0.61975734778286118</v>
      </c>
      <c r="H182">
        <f>AVERAGE(F182:G182)</f>
        <v>0.80560484053242853</v>
      </c>
      <c r="J182">
        <v>1.1002462117722291</v>
      </c>
      <c r="M182" s="3">
        <f>AVERAGE(J182:J189)</f>
        <v>1.0108700027619</v>
      </c>
    </row>
    <row r="183" spans="1:13" x14ac:dyDescent="0.2">
      <c r="B183">
        <v>109.554</v>
      </c>
      <c r="D183">
        <v>159.48699999999999</v>
      </c>
      <c r="J183">
        <v>1.0417808344587711</v>
      </c>
    </row>
    <row r="184" spans="1:13" x14ac:dyDescent="0.2">
      <c r="B184">
        <f>SUM(B182:B183)</f>
        <v>207.77600000000001</v>
      </c>
      <c r="D184">
        <f>SUM(D182:D183)</f>
        <v>232.34899999999999</v>
      </c>
      <c r="J184">
        <v>0.92177017312881704</v>
      </c>
    </row>
    <row r="185" spans="1:13" x14ac:dyDescent="0.2">
      <c r="A185">
        <v>5</v>
      </c>
      <c r="B185">
        <v>103.824</v>
      </c>
      <c r="C185">
        <v>143</v>
      </c>
      <c r="D185">
        <v>139.44</v>
      </c>
      <c r="E185">
        <v>224</v>
      </c>
      <c r="F185">
        <f>C185/B187</f>
        <v>0.86473280965598143</v>
      </c>
      <c r="G185">
        <f>E185/D187</f>
        <v>0.90458268047232149</v>
      </c>
      <c r="H185">
        <f>AVERAGE(F185:G185)</f>
        <v>0.88465774506415151</v>
      </c>
      <c r="J185">
        <v>0.80560484053242853</v>
      </c>
    </row>
    <row r="186" spans="1:13" x14ac:dyDescent="0.2">
      <c r="B186">
        <v>61.545000000000002</v>
      </c>
      <c r="D186">
        <v>108.188</v>
      </c>
      <c r="J186">
        <v>0.88465774506415151</v>
      </c>
    </row>
    <row r="187" spans="1:13" x14ac:dyDescent="0.2">
      <c r="B187">
        <f>SUM(B185:B186)</f>
        <v>165.369</v>
      </c>
      <c r="D187">
        <f>SUM(D185:D186)</f>
        <v>247.62799999999999</v>
      </c>
      <c r="J187">
        <v>1.2679721580466405</v>
      </c>
    </row>
    <row r="188" spans="1:13" x14ac:dyDescent="0.2">
      <c r="A188">
        <v>6</v>
      </c>
      <c r="B188">
        <v>123.259</v>
      </c>
      <c r="C188">
        <v>240</v>
      </c>
      <c r="D188">
        <v>83.033000000000001</v>
      </c>
      <c r="E188">
        <v>164</v>
      </c>
      <c r="F188">
        <f>C188/B190</f>
        <v>1.4294137616809905</v>
      </c>
      <c r="G188">
        <f>E188/D190</f>
        <v>1.1065305544122905</v>
      </c>
      <c r="H188">
        <f>AVERAGE(F188:G188)</f>
        <v>1.2679721580466405</v>
      </c>
      <c r="J188">
        <v>0.98604212522413937</v>
      </c>
    </row>
    <row r="189" spans="1:13" x14ac:dyDescent="0.2">
      <c r="B189">
        <v>44.642000000000003</v>
      </c>
      <c r="D189">
        <v>65.177999999999997</v>
      </c>
      <c r="J189">
        <v>1.0788859338680221</v>
      </c>
    </row>
    <row r="190" spans="1:13" x14ac:dyDescent="0.2">
      <c r="B190">
        <f>SUM(B188:B189)</f>
        <v>167.90100000000001</v>
      </c>
      <c r="D190">
        <f>SUM(D188:D189)</f>
        <v>148.21100000000001</v>
      </c>
    </row>
    <row r="191" spans="1:13" x14ac:dyDescent="0.2">
      <c r="A191">
        <v>7</v>
      </c>
      <c r="B191">
        <v>77.525000000000006</v>
      </c>
      <c r="C191">
        <v>156</v>
      </c>
      <c r="D191">
        <v>112.634</v>
      </c>
      <c r="E191">
        <v>226</v>
      </c>
      <c r="F191">
        <f>C191/B193</f>
        <v>0.79535026001835429</v>
      </c>
      <c r="G191">
        <f>E191/D193</f>
        <v>1.1767339904299243</v>
      </c>
      <c r="H191">
        <f>AVERAGE(F191:G191)</f>
        <v>0.98604212522413937</v>
      </c>
    </row>
    <row r="192" spans="1:13" x14ac:dyDescent="0.2">
      <c r="B192">
        <v>118.61499999999999</v>
      </c>
      <c r="D192">
        <v>79.423000000000002</v>
      </c>
    </row>
    <row r="193" spans="1:10" x14ac:dyDescent="0.2">
      <c r="B193">
        <f>SUM(B191:B192)</f>
        <v>196.14</v>
      </c>
      <c r="D193">
        <f>SUM(D191:D192)</f>
        <v>192.05700000000002</v>
      </c>
    </row>
    <row r="194" spans="1:10" x14ac:dyDescent="0.2">
      <c r="A194">
        <v>8</v>
      </c>
      <c r="B194">
        <v>105.70699999999999</v>
      </c>
      <c r="C194">
        <v>164</v>
      </c>
      <c r="D194">
        <v>103.53</v>
      </c>
      <c r="E194">
        <v>202</v>
      </c>
      <c r="F194">
        <f>C194/B196</f>
        <v>1.0309861634113069</v>
      </c>
      <c r="G194">
        <f>E194/D196</f>
        <v>1.1267857043247373</v>
      </c>
      <c r="H194">
        <f>AVERAGE(F194:G194)</f>
        <v>1.0788859338680221</v>
      </c>
    </row>
    <row r="195" spans="1:10" x14ac:dyDescent="0.2">
      <c r="B195">
        <v>53.363999999999997</v>
      </c>
      <c r="D195">
        <v>75.741</v>
      </c>
    </row>
    <row r="196" spans="1:10" x14ac:dyDescent="0.2">
      <c r="B196">
        <f>SUM(B194:B195)</f>
        <v>159.071</v>
      </c>
      <c r="D196">
        <f>SUM(D194:D195)</f>
        <v>179.27100000000002</v>
      </c>
    </row>
    <row r="198" spans="1:10" x14ac:dyDescent="0.2">
      <c r="A198" t="s">
        <v>142</v>
      </c>
    </row>
    <row r="199" spans="1:10" x14ac:dyDescent="0.2">
      <c r="A199" s="1">
        <v>1</v>
      </c>
      <c r="B199" s="1">
        <v>141.952</v>
      </c>
      <c r="C199" s="1">
        <v>188</v>
      </c>
      <c r="D199" s="1">
        <v>150.291</v>
      </c>
      <c r="E199" s="1">
        <v>159</v>
      </c>
      <c r="F199" s="1">
        <f>C199/B201</f>
        <v>0.78099036224659357</v>
      </c>
      <c r="G199" s="1">
        <f>E199/D201</f>
        <v>0.73726137538659853</v>
      </c>
      <c r="H199" s="1">
        <f>AVERAGE(F199:G199)</f>
        <v>0.75912586881659605</v>
      </c>
    </row>
    <row r="200" spans="1:10" x14ac:dyDescent="0.2">
      <c r="B200">
        <v>98.768000000000001</v>
      </c>
      <c r="D200">
        <v>65.372</v>
      </c>
    </row>
    <row r="201" spans="1:10" x14ac:dyDescent="0.2">
      <c r="B201">
        <f>SUM(B199:B200)</f>
        <v>240.72</v>
      </c>
      <c r="D201">
        <f>SUM(D199:D200)</f>
        <v>215.66300000000001</v>
      </c>
    </row>
    <row r="202" spans="1:10" x14ac:dyDescent="0.2">
      <c r="A202">
        <v>2</v>
      </c>
      <c r="B202">
        <v>156.73699999999999</v>
      </c>
      <c r="C202">
        <v>214</v>
      </c>
      <c r="D202">
        <v>110.178</v>
      </c>
      <c r="E202">
        <v>230</v>
      </c>
      <c r="F202">
        <f>C202/B204</f>
        <v>0.83947575915675843</v>
      </c>
      <c r="G202">
        <f>E202/D204</f>
        <v>0.85404072660299735</v>
      </c>
      <c r="H202">
        <f>AVERAGE(F202:G202)</f>
        <v>0.84675824287987789</v>
      </c>
    </row>
    <row r="203" spans="1:10" x14ac:dyDescent="0.2">
      <c r="B203">
        <v>98.183999999999997</v>
      </c>
      <c r="D203">
        <v>159.13</v>
      </c>
    </row>
    <row r="204" spans="1:10" x14ac:dyDescent="0.2">
      <c r="B204">
        <f>SUM(B202:B203)</f>
        <v>254.92099999999999</v>
      </c>
      <c r="D204">
        <f>SUM(D202:D203)</f>
        <v>269.30799999999999</v>
      </c>
    </row>
    <row r="205" spans="1:10" x14ac:dyDescent="0.2">
      <c r="A205" s="1">
        <v>3</v>
      </c>
      <c r="B205" s="1">
        <v>108.958</v>
      </c>
      <c r="C205" s="1">
        <v>133</v>
      </c>
      <c r="D205" s="1">
        <v>89.138000000000005</v>
      </c>
      <c r="E205" s="1">
        <v>144</v>
      </c>
      <c r="F205" s="1">
        <f>C205/B207</f>
        <v>0.73391052913293708</v>
      </c>
      <c r="G205" s="1">
        <f>E205/D207</f>
        <v>0.74120590082253257</v>
      </c>
      <c r="H205" s="1">
        <f>AVERAGE(F205:G205)</f>
        <v>0.73755821497773488</v>
      </c>
    </row>
    <row r="206" spans="1:10" x14ac:dyDescent="0.2">
      <c r="B206">
        <v>72.263000000000005</v>
      </c>
      <c r="D206">
        <v>105.14</v>
      </c>
    </row>
    <row r="207" spans="1:10" x14ac:dyDescent="0.2">
      <c r="B207">
        <f>SUM(B205:B206)</f>
        <v>181.221</v>
      </c>
      <c r="D207">
        <f>SUM(D205:D206)</f>
        <v>194.27800000000002</v>
      </c>
    </row>
    <row r="208" spans="1:10" x14ac:dyDescent="0.2">
      <c r="A208" s="1">
        <v>4</v>
      </c>
      <c r="B208" s="1">
        <v>127.244</v>
      </c>
      <c r="C208" s="1">
        <v>148</v>
      </c>
      <c r="D208" s="1">
        <v>198.423</v>
      </c>
      <c r="E208" s="1">
        <v>163</v>
      </c>
      <c r="F208" s="1">
        <f>C208/B210</f>
        <v>0.69111082055400941</v>
      </c>
      <c r="G208" s="1">
        <f>E208/D210</f>
        <v>0.55533410330577104</v>
      </c>
      <c r="H208" s="1">
        <f>AVERAGE(F208:G208)</f>
        <v>0.62322246192989028</v>
      </c>
      <c r="J208">
        <v>0.75912586881659605</v>
      </c>
    </row>
    <row r="209" spans="1:13" x14ac:dyDescent="0.2">
      <c r="B209">
        <v>86.903999999999996</v>
      </c>
      <c r="D209">
        <v>95.093999999999994</v>
      </c>
      <c r="J209">
        <v>0.84675824287987789</v>
      </c>
      <c r="M209" s="3">
        <f>AVERAGE(J208:J215)</f>
        <v>0.80935784438801028</v>
      </c>
    </row>
    <row r="210" spans="1:13" x14ac:dyDescent="0.2">
      <c r="B210">
        <f>SUM(B208:B209)</f>
        <v>214.148</v>
      </c>
      <c r="D210">
        <f>SUM(D208:D209)</f>
        <v>293.517</v>
      </c>
      <c r="J210">
        <v>0.73755821497773488</v>
      </c>
    </row>
    <row r="211" spans="1:13" x14ac:dyDescent="0.2">
      <c r="A211">
        <v>5</v>
      </c>
      <c r="B211">
        <v>99.93</v>
      </c>
      <c r="C211">
        <v>147</v>
      </c>
      <c r="D211">
        <v>85.06</v>
      </c>
      <c r="E211">
        <v>112</v>
      </c>
      <c r="F211">
        <f>C211/B213</f>
        <v>0.97417443686753225</v>
      </c>
      <c r="G211">
        <f>E211/D213</f>
        <v>0.85187297965392661</v>
      </c>
      <c r="H211">
        <f>AVERAGE(F211:G211)</f>
        <v>0.91302370826072943</v>
      </c>
      <c r="J211">
        <v>0.62322246192989028</v>
      </c>
    </row>
    <row r="212" spans="1:13" x14ac:dyDescent="0.2">
      <c r="B212">
        <v>50.966999999999999</v>
      </c>
      <c r="D212">
        <v>46.414999999999999</v>
      </c>
      <c r="J212">
        <v>0.91302370826072943</v>
      </c>
    </row>
    <row r="213" spans="1:13" x14ac:dyDescent="0.2">
      <c r="B213">
        <f>SUM(B211:B212)</f>
        <v>150.89699999999999</v>
      </c>
      <c r="D213">
        <f>SUM(D211:D212)</f>
        <v>131.47499999999999</v>
      </c>
      <c r="J213">
        <v>0.95577956442714407</v>
      </c>
    </row>
    <row r="214" spans="1:13" x14ac:dyDescent="0.2">
      <c r="A214">
        <v>6</v>
      </c>
      <c r="B214">
        <v>86.977999999999994</v>
      </c>
      <c r="C214">
        <v>144</v>
      </c>
      <c r="D214">
        <v>100.63800000000001</v>
      </c>
      <c r="E214">
        <v>150</v>
      </c>
      <c r="F214">
        <f>C214/B216</f>
        <v>1.027609879327201</v>
      </c>
      <c r="G214">
        <f>E214/D216</f>
        <v>0.88394924952708709</v>
      </c>
      <c r="H214">
        <f>AVERAGE(F214:G214)</f>
        <v>0.95577956442714407</v>
      </c>
      <c r="J214">
        <v>0.84616135948927085</v>
      </c>
    </row>
    <row r="215" spans="1:13" x14ac:dyDescent="0.2">
      <c r="B215">
        <v>53.152999999999999</v>
      </c>
      <c r="D215">
        <v>69.055000000000007</v>
      </c>
      <c r="J215">
        <v>0.79323333432283838</v>
      </c>
    </row>
    <row r="216" spans="1:13" x14ac:dyDescent="0.2">
      <c r="B216">
        <f>SUM(B214:B215)</f>
        <v>140.131</v>
      </c>
      <c r="D216">
        <f>SUM(D214:D215)</f>
        <v>169.69300000000001</v>
      </c>
    </row>
    <row r="217" spans="1:13" x14ac:dyDescent="0.2">
      <c r="A217">
        <v>7</v>
      </c>
      <c r="B217">
        <v>147.57</v>
      </c>
      <c r="C217">
        <v>235</v>
      </c>
      <c r="D217">
        <v>95.816999999999993</v>
      </c>
      <c r="E217">
        <v>157</v>
      </c>
      <c r="F217">
        <f>C217/B219</f>
        <v>0.92981664807033371</v>
      </c>
      <c r="G217">
        <f>E217/D219</f>
        <v>0.76250607090820799</v>
      </c>
      <c r="H217">
        <f>AVERAGE(F217:G217)</f>
        <v>0.84616135948927085</v>
      </c>
    </row>
    <row r="218" spans="1:13" x14ac:dyDescent="0.2">
      <c r="B218">
        <v>105.16800000000001</v>
      </c>
      <c r="D218">
        <v>110.083</v>
      </c>
    </row>
    <row r="219" spans="1:13" x14ac:dyDescent="0.2">
      <c r="B219">
        <f>SUM(B217:B218)</f>
        <v>252.738</v>
      </c>
      <c r="D219">
        <f>SUM(D217:D218)</f>
        <v>205.89999999999998</v>
      </c>
    </row>
    <row r="220" spans="1:13" x14ac:dyDescent="0.2">
      <c r="A220">
        <v>8</v>
      </c>
      <c r="B220">
        <v>130.47900000000001</v>
      </c>
      <c r="C220">
        <v>194</v>
      </c>
      <c r="D220">
        <v>112.28100000000001</v>
      </c>
      <c r="E220">
        <v>142</v>
      </c>
      <c r="F220">
        <f>C220/B222</f>
        <v>0.83955425727577615</v>
      </c>
      <c r="G220">
        <f>E220/D222</f>
        <v>0.7469124113699005</v>
      </c>
      <c r="H220">
        <f>AVERAGE(F220:G220)</f>
        <v>0.79323333432283838</v>
      </c>
    </row>
    <row r="221" spans="1:13" x14ac:dyDescent="0.2">
      <c r="B221">
        <v>100.596</v>
      </c>
      <c r="D221">
        <v>77.834999999999994</v>
      </c>
    </row>
    <row r="222" spans="1:13" x14ac:dyDescent="0.2">
      <c r="B222">
        <f>SUM(B220:B221)</f>
        <v>231.07500000000002</v>
      </c>
      <c r="D222">
        <f>SUM(D220:D221)</f>
        <v>190.11599999999999</v>
      </c>
    </row>
    <row r="225" spans="1:19" x14ac:dyDescent="0.2">
      <c r="A225" t="s">
        <v>143</v>
      </c>
    </row>
    <row r="226" spans="1:19" x14ac:dyDescent="0.2">
      <c r="A226" t="s">
        <v>138</v>
      </c>
    </row>
    <row r="227" spans="1:19" x14ac:dyDescent="0.2">
      <c r="A227" t="s">
        <v>125</v>
      </c>
      <c r="B227" t="s">
        <v>126</v>
      </c>
      <c r="C227" t="s">
        <v>127</v>
      </c>
      <c r="D227" t="s">
        <v>128</v>
      </c>
      <c r="E227" t="s">
        <v>129</v>
      </c>
      <c r="F227" t="s">
        <v>130</v>
      </c>
      <c r="G227" t="s">
        <v>131</v>
      </c>
      <c r="H227" t="s">
        <v>12</v>
      </c>
    </row>
    <row r="228" spans="1:19" x14ac:dyDescent="0.2">
      <c r="A228" s="1">
        <v>1</v>
      </c>
      <c r="B228" s="1">
        <v>105.20099999999999</v>
      </c>
      <c r="C228" s="1">
        <v>217</v>
      </c>
      <c r="D228" s="1">
        <v>140.93600000000001</v>
      </c>
      <c r="E228" s="1">
        <v>428</v>
      </c>
      <c r="F228" s="1">
        <f>C228/B230</f>
        <v>1.2298031748190716</v>
      </c>
      <c r="G228" s="1">
        <f>E228/D230</f>
        <v>1.401840078869881</v>
      </c>
      <c r="H228" s="1">
        <f>AVERAGE(F228:G228)</f>
        <v>1.3158216268444765</v>
      </c>
      <c r="P228" t="s">
        <v>138</v>
      </c>
      <c r="Q228" t="s">
        <v>140</v>
      </c>
      <c r="R228" t="s">
        <v>144</v>
      </c>
      <c r="S228" t="s">
        <v>145</v>
      </c>
    </row>
    <row r="229" spans="1:19" x14ac:dyDescent="0.2">
      <c r="B229">
        <v>71.25</v>
      </c>
      <c r="D229">
        <v>164.37700000000001</v>
      </c>
      <c r="P229">
        <v>1.3158216268444765</v>
      </c>
      <c r="Q229">
        <v>1.2949167332373945</v>
      </c>
      <c r="R229">
        <v>1.1993059469073843</v>
      </c>
      <c r="S229">
        <v>0.6747015149652007</v>
      </c>
    </row>
    <row r="230" spans="1:19" x14ac:dyDescent="0.2">
      <c r="B230">
        <f>SUM(B228:B229)</f>
        <v>176.45099999999999</v>
      </c>
      <c r="D230">
        <f>SUM(D228:D229)</f>
        <v>305.31299999999999</v>
      </c>
      <c r="P230">
        <v>1.2356723737731266</v>
      </c>
      <c r="Q230">
        <v>1.6710775302396308</v>
      </c>
      <c r="R230">
        <v>0.99279931596526994</v>
      </c>
      <c r="S230">
        <v>0.98786208889610871</v>
      </c>
    </row>
    <row r="231" spans="1:19" x14ac:dyDescent="0.2">
      <c r="A231">
        <v>2</v>
      </c>
      <c r="B231">
        <v>87.072999999999993</v>
      </c>
      <c r="C231">
        <v>187</v>
      </c>
      <c r="D231">
        <v>71.768000000000001</v>
      </c>
      <c r="E231">
        <v>195</v>
      </c>
      <c r="F231">
        <f>C231/B233</f>
        <v>1.1983492258792166</v>
      </c>
      <c r="G231">
        <f>E231/D233</f>
        <v>1.2729955216670366</v>
      </c>
      <c r="H231">
        <f>AVERAGE(F231:G231)</f>
        <v>1.2356723737731266</v>
      </c>
      <c r="P231">
        <v>1.6493702969158295</v>
      </c>
      <c r="Q231">
        <v>1.1344186363447697</v>
      </c>
      <c r="R231">
        <v>1.2022814415408212</v>
      </c>
      <c r="S231">
        <v>1.1203330619152632</v>
      </c>
    </row>
    <row r="232" spans="1:19" x14ac:dyDescent="0.2">
      <c r="B232">
        <v>68.974999999999994</v>
      </c>
      <c r="D232">
        <v>81.414000000000001</v>
      </c>
      <c r="P232">
        <v>1.0754800683388512</v>
      </c>
      <c r="Q232">
        <v>1.1306998979540241</v>
      </c>
      <c r="R232">
        <v>1.2045369243487714</v>
      </c>
      <c r="S232">
        <v>0.87877985159900884</v>
      </c>
    </row>
    <row r="233" spans="1:19" x14ac:dyDescent="0.2">
      <c r="B233">
        <f>SUM(B231:B232)</f>
        <v>156.048</v>
      </c>
      <c r="D233">
        <f>SUM(D231:D232)</f>
        <v>153.18200000000002</v>
      </c>
      <c r="M233" s="3">
        <f>AVERAGE(J234:J240)</f>
        <v>1.3476527960038669</v>
      </c>
      <c r="P233">
        <v>1.2107500364408961</v>
      </c>
      <c r="Q233">
        <v>1.1744508911858984</v>
      </c>
      <c r="R233">
        <v>1.1812712073957439</v>
      </c>
      <c r="S233">
        <v>0.65641215807484887</v>
      </c>
    </row>
    <row r="234" spans="1:19" x14ac:dyDescent="0.2">
      <c r="A234" s="1">
        <v>3</v>
      </c>
      <c r="B234" s="1">
        <v>87.209000000000003</v>
      </c>
      <c r="C234" s="1">
        <v>259</v>
      </c>
      <c r="D234" s="1">
        <v>99.611000000000004</v>
      </c>
      <c r="E234" s="1">
        <v>319</v>
      </c>
      <c r="F234" s="1">
        <f>C234/B236</f>
        <v>1.4453286308998983</v>
      </c>
      <c r="G234" s="1">
        <f>E234/D236</f>
        <v>1.8534119629317607</v>
      </c>
      <c r="H234" s="1">
        <f>AVERAGE(F234:G234)</f>
        <v>1.6493702969158295</v>
      </c>
      <c r="J234">
        <v>1.3158216268444765</v>
      </c>
      <c r="P234">
        <v>0.97793952141497331</v>
      </c>
      <c r="Q234">
        <v>1.356474843122117</v>
      </c>
      <c r="R234">
        <v>1.0889855428479063</v>
      </c>
      <c r="S234">
        <v>0.82495215971198876</v>
      </c>
    </row>
    <row r="235" spans="1:19" x14ac:dyDescent="0.2">
      <c r="B235">
        <v>91.989000000000004</v>
      </c>
      <c r="D235">
        <v>72.504000000000005</v>
      </c>
      <c r="J235">
        <v>1.2356723737731266</v>
      </c>
      <c r="P235">
        <v>1.9685356482989143</v>
      </c>
      <c r="Q235">
        <v>1.1750509504931834</v>
      </c>
      <c r="R235">
        <v>1.0394301997394575</v>
      </c>
      <c r="S235">
        <v>0.5174189233051345</v>
      </c>
    </row>
    <row r="236" spans="1:19" x14ac:dyDescent="0.2">
      <c r="B236">
        <f>SUM(B234:B235)</f>
        <v>179.19800000000001</v>
      </c>
      <c r="D236">
        <f>SUM(D234:D235)</f>
        <v>172.11500000000001</v>
      </c>
      <c r="J236">
        <v>1.6493702969158295</v>
      </c>
      <c r="Q236">
        <v>0.82513241253835157</v>
      </c>
      <c r="R236">
        <v>0.84282466688433977</v>
      </c>
    </row>
    <row r="237" spans="1:19" x14ac:dyDescent="0.2">
      <c r="A237">
        <v>4</v>
      </c>
      <c r="B237">
        <v>169.59299999999999</v>
      </c>
      <c r="C237">
        <v>338</v>
      </c>
      <c r="D237">
        <v>99.034000000000006</v>
      </c>
      <c r="E237">
        <v>158</v>
      </c>
      <c r="F237">
        <f>C237/B239</f>
        <v>1.0900447950361039</v>
      </c>
      <c r="G237">
        <f>E237/D239</f>
        <v>1.0609153416415986</v>
      </c>
      <c r="H237">
        <f>AVERAGE(F237:G237)</f>
        <v>1.0754800683388512</v>
      </c>
      <c r="J237">
        <v>1.0754800683388512</v>
      </c>
    </row>
    <row r="238" spans="1:19" x14ac:dyDescent="0.2">
      <c r="B238">
        <v>140.48599999999999</v>
      </c>
      <c r="D238">
        <v>49.893999999999998</v>
      </c>
      <c r="J238">
        <v>1.2107500364408961</v>
      </c>
    </row>
    <row r="239" spans="1:19" x14ac:dyDescent="0.2">
      <c r="B239">
        <f>SUM(B237:B238)</f>
        <v>310.07899999999995</v>
      </c>
      <c r="D239">
        <f>SUM(D237:D238)</f>
        <v>148.928</v>
      </c>
      <c r="J239">
        <v>0.97793952141497331</v>
      </c>
    </row>
    <row r="240" spans="1:19" x14ac:dyDescent="0.2">
      <c r="A240">
        <v>5</v>
      </c>
      <c r="B240">
        <v>125.742</v>
      </c>
      <c r="C240">
        <v>269</v>
      </c>
      <c r="D240">
        <v>127.42</v>
      </c>
      <c r="E240">
        <v>207</v>
      </c>
      <c r="F240">
        <f>C240/B242</f>
        <v>1.2574735533210859</v>
      </c>
      <c r="G240">
        <f>E240/D242</f>
        <v>1.1640265195607065</v>
      </c>
      <c r="H240">
        <f>AVERAGE(F240:G240)</f>
        <v>1.2107500364408961</v>
      </c>
      <c r="J240">
        <v>1.9685356482989143</v>
      </c>
    </row>
    <row r="241" spans="1:8" x14ac:dyDescent="0.2">
      <c r="B241">
        <v>88.179000000000002</v>
      </c>
      <c r="D241">
        <v>50.411000000000001</v>
      </c>
    </row>
    <row r="242" spans="1:8" x14ac:dyDescent="0.2">
      <c r="B242">
        <f>SUM(B240:B241)</f>
        <v>213.92099999999999</v>
      </c>
      <c r="D242">
        <f>SUM(D240:D241)</f>
        <v>177.83100000000002</v>
      </c>
    </row>
    <row r="243" spans="1:8" x14ac:dyDescent="0.2">
      <c r="A243">
        <v>6</v>
      </c>
      <c r="B243">
        <v>124.864</v>
      </c>
      <c r="C243">
        <v>237</v>
      </c>
      <c r="D243">
        <v>111.396</v>
      </c>
      <c r="E243">
        <v>187</v>
      </c>
      <c r="F243">
        <f>C243/B245</f>
        <v>1.0479445694804936</v>
      </c>
      <c r="G243">
        <f>E243/D245</f>
        <v>0.90793447334945288</v>
      </c>
      <c r="H243">
        <f>AVERAGE(F243:G243)</f>
        <v>0.97793952141497331</v>
      </c>
    </row>
    <row r="244" spans="1:8" x14ac:dyDescent="0.2">
      <c r="B244">
        <v>101.29300000000001</v>
      </c>
      <c r="D244">
        <v>94.566000000000003</v>
      </c>
    </row>
    <row r="245" spans="1:8" x14ac:dyDescent="0.2">
      <c r="B245">
        <f>SUM(B243:B244)</f>
        <v>226.15700000000001</v>
      </c>
      <c r="D245">
        <f>SUM(D243:D244)</f>
        <v>205.96199999999999</v>
      </c>
    </row>
    <row r="246" spans="1:8" x14ac:dyDescent="0.2">
      <c r="A246" s="1">
        <v>7</v>
      </c>
      <c r="B246" s="1">
        <v>103.795</v>
      </c>
      <c r="C246" s="1">
        <v>316</v>
      </c>
      <c r="D246" s="1">
        <v>159.49</v>
      </c>
      <c r="E246" s="1">
        <v>465</v>
      </c>
      <c r="F246" s="1">
        <f>C246/B248</f>
        <v>1.7728109151294826</v>
      </c>
      <c r="G246" s="1">
        <f>E246/D248</f>
        <v>2.1642603814683459</v>
      </c>
      <c r="H246" s="1">
        <f>AVERAGE(F246:G246)</f>
        <v>1.9685356482989143</v>
      </c>
    </row>
    <row r="247" spans="1:8" x14ac:dyDescent="0.2">
      <c r="B247">
        <v>74.453000000000003</v>
      </c>
      <c r="D247">
        <v>55.363999999999997</v>
      </c>
    </row>
    <row r="248" spans="1:8" x14ac:dyDescent="0.2">
      <c r="B248">
        <f>SUM(B246:B247)</f>
        <v>178.24799999999999</v>
      </c>
      <c r="D248">
        <f>SUM(D246:D247)</f>
        <v>214.85400000000001</v>
      </c>
    </row>
    <row r="249" spans="1:8" x14ac:dyDescent="0.2">
      <c r="A249" t="s">
        <v>140</v>
      </c>
    </row>
    <row r="250" spans="1:8" x14ac:dyDescent="0.2">
      <c r="A250" s="1">
        <v>1</v>
      </c>
      <c r="B250" s="1">
        <v>111.036</v>
      </c>
      <c r="C250" s="1">
        <v>305</v>
      </c>
      <c r="D250" s="1">
        <v>122.27200000000001</v>
      </c>
      <c r="E250" s="1">
        <v>272</v>
      </c>
      <c r="F250" s="1">
        <f>C250/B252</f>
        <v>1.3860486253124289</v>
      </c>
      <c r="G250" s="1">
        <f>E250/D252</f>
        <v>1.2037848411623604</v>
      </c>
      <c r="H250" s="1">
        <f>AVERAGE(F250:G250)</f>
        <v>1.2949167332373945</v>
      </c>
    </row>
    <row r="251" spans="1:8" x14ac:dyDescent="0.2">
      <c r="B251">
        <v>109.014</v>
      </c>
      <c r="D251">
        <v>103.682</v>
      </c>
    </row>
    <row r="252" spans="1:8" x14ac:dyDescent="0.2">
      <c r="B252">
        <f>SUM(B250:B251)</f>
        <v>220.05</v>
      </c>
      <c r="D252">
        <f>SUM(D250:D251)</f>
        <v>225.95400000000001</v>
      </c>
    </row>
    <row r="253" spans="1:8" x14ac:dyDescent="0.2">
      <c r="A253" s="1">
        <v>2</v>
      </c>
      <c r="B253" s="1">
        <v>171.67099999999999</v>
      </c>
      <c r="C253" s="1">
        <v>345</v>
      </c>
      <c r="D253" s="1">
        <v>102.63800000000001</v>
      </c>
      <c r="E253" s="1">
        <v>291</v>
      </c>
      <c r="F253" s="1">
        <f>C253/B255</f>
        <v>1.4639238250420081</v>
      </c>
      <c r="G253" s="1">
        <f>E253/D255</f>
        <v>1.8782312354372537</v>
      </c>
      <c r="H253" s="1">
        <f>AVERAGE(F253:G253)</f>
        <v>1.6710775302396308</v>
      </c>
    </row>
    <row r="254" spans="1:8" x14ac:dyDescent="0.2">
      <c r="B254">
        <v>63.997</v>
      </c>
      <c r="D254">
        <v>52.295000000000002</v>
      </c>
    </row>
    <row r="255" spans="1:8" x14ac:dyDescent="0.2">
      <c r="B255">
        <f>SUM(B253:B254)</f>
        <v>235.66800000000001</v>
      </c>
      <c r="D255">
        <f>SUM(D253:D254)</f>
        <v>154.93299999999999</v>
      </c>
    </row>
    <row r="256" spans="1:8" x14ac:dyDescent="0.2">
      <c r="A256">
        <v>3</v>
      </c>
      <c r="B256">
        <v>91.025999999999996</v>
      </c>
      <c r="C256">
        <v>227</v>
      </c>
      <c r="D256">
        <v>87.031000000000006</v>
      </c>
      <c r="E256">
        <v>201</v>
      </c>
      <c r="F256">
        <f>C256/B258</f>
        <v>1.1502814895891924</v>
      </c>
      <c r="G256">
        <f>E256/D258</f>
        <v>1.118555783100347</v>
      </c>
      <c r="H256">
        <f>AVERAGE(F256:G256)</f>
        <v>1.1344186363447697</v>
      </c>
    </row>
    <row r="257" spans="1:13" x14ac:dyDescent="0.2">
      <c r="B257">
        <v>106.31699999999999</v>
      </c>
      <c r="D257">
        <v>92.665000000000006</v>
      </c>
    </row>
    <row r="258" spans="1:13" x14ac:dyDescent="0.2">
      <c r="B258">
        <f>SUM(B256:B257)</f>
        <v>197.34299999999999</v>
      </c>
      <c r="D258">
        <f>SUM(D256:D257)</f>
        <v>179.69600000000003</v>
      </c>
    </row>
    <row r="259" spans="1:13" x14ac:dyDescent="0.2">
      <c r="A259">
        <v>4</v>
      </c>
      <c r="B259">
        <v>170.41200000000001</v>
      </c>
      <c r="C259">
        <v>372</v>
      </c>
      <c r="D259">
        <v>162.09899999999999</v>
      </c>
      <c r="E259">
        <v>342</v>
      </c>
      <c r="F259">
        <f>C259/B261</f>
        <v>1.1710228506851428</v>
      </c>
      <c r="G259">
        <f>E259/D261</f>
        <v>1.0903769452229055</v>
      </c>
      <c r="H259">
        <f>AVERAGE(F259:G259)</f>
        <v>1.1306998979540241</v>
      </c>
      <c r="J259">
        <v>1.2949167332373945</v>
      </c>
    </row>
    <row r="260" spans="1:13" x14ac:dyDescent="0.2">
      <c r="B260">
        <v>147.25899999999999</v>
      </c>
      <c r="D260">
        <v>151.554</v>
      </c>
      <c r="J260">
        <v>1.6710775302396308</v>
      </c>
      <c r="M260" s="3">
        <f>AVERAGE(J259:J266)</f>
        <v>1.2202777368894213</v>
      </c>
    </row>
    <row r="261" spans="1:13" x14ac:dyDescent="0.2">
      <c r="B261">
        <f>SUM(B259:B260)</f>
        <v>317.67099999999999</v>
      </c>
      <c r="D261">
        <f>SUM(D259:D260)</f>
        <v>313.65300000000002</v>
      </c>
      <c r="J261">
        <v>1.1344186363447697</v>
      </c>
    </row>
    <row r="262" spans="1:13" x14ac:dyDescent="0.2">
      <c r="A262">
        <v>5</v>
      </c>
      <c r="B262">
        <v>73.849000000000004</v>
      </c>
      <c r="C262">
        <v>159</v>
      </c>
      <c r="D262">
        <v>63.466000000000001</v>
      </c>
      <c r="E262">
        <v>139</v>
      </c>
      <c r="F262">
        <f>C262/B264</f>
        <v>1.2002173978682931</v>
      </c>
      <c r="G262">
        <f>E262/D264</f>
        <v>1.1486843845035037</v>
      </c>
      <c r="H262">
        <f>AVERAGE(F262:G262)</f>
        <v>1.1744508911858984</v>
      </c>
      <c r="J262">
        <v>1.1306998979540241</v>
      </c>
    </row>
    <row r="263" spans="1:13" x14ac:dyDescent="0.2">
      <c r="B263">
        <v>58.627000000000002</v>
      </c>
      <c r="D263">
        <v>57.542000000000002</v>
      </c>
      <c r="J263">
        <v>1.1744508911858984</v>
      </c>
    </row>
    <row r="264" spans="1:13" x14ac:dyDescent="0.2">
      <c r="B264">
        <f>SUM(B262:B263)</f>
        <v>132.476</v>
      </c>
      <c r="D264">
        <f>SUM(D262:D263)</f>
        <v>121.00800000000001</v>
      </c>
      <c r="J264">
        <v>1.356474843122117</v>
      </c>
    </row>
    <row r="265" spans="1:13" x14ac:dyDescent="0.2">
      <c r="A265" s="1">
        <v>6</v>
      </c>
      <c r="B265" s="1">
        <v>135.22800000000001</v>
      </c>
      <c r="C265" s="1">
        <v>261</v>
      </c>
      <c r="D265" s="1">
        <v>141.77600000000001</v>
      </c>
      <c r="E265" s="1">
        <v>242</v>
      </c>
      <c r="F265" s="1">
        <f>C265/B267</f>
        <v>1.3656984684293421</v>
      </c>
      <c r="G265" s="1">
        <f>E265/D267</f>
        <v>1.3472512178148921</v>
      </c>
      <c r="H265" s="1">
        <f>AVERAGE(F265:G265)</f>
        <v>1.356474843122117</v>
      </c>
      <c r="J265">
        <v>1.1750509504931834</v>
      </c>
    </row>
    <row r="266" spans="1:13" x14ac:dyDescent="0.2">
      <c r="B266">
        <v>55.883000000000003</v>
      </c>
      <c r="D266">
        <v>37.848999999999997</v>
      </c>
      <c r="J266">
        <v>0.82513241253835157</v>
      </c>
    </row>
    <row r="267" spans="1:13" x14ac:dyDescent="0.2">
      <c r="B267">
        <f>SUM(B265:B266)</f>
        <v>191.11100000000002</v>
      </c>
      <c r="D267">
        <f>SUM(D265:D266)</f>
        <v>179.625</v>
      </c>
    </row>
    <row r="268" spans="1:13" x14ac:dyDescent="0.2">
      <c r="A268">
        <v>7</v>
      </c>
      <c r="B268">
        <v>94.733000000000004</v>
      </c>
      <c r="C268">
        <v>250</v>
      </c>
      <c r="D268">
        <v>168.01</v>
      </c>
      <c r="E268">
        <v>274</v>
      </c>
      <c r="F268">
        <f>C268/B270</f>
        <v>1.1077926566640375</v>
      </c>
      <c r="G268">
        <f>E268/D270</f>
        <v>1.2423092443223294</v>
      </c>
      <c r="H268">
        <f>AVERAGE(F268:G268)</f>
        <v>1.1750509504931834</v>
      </c>
    </row>
    <row r="269" spans="1:13" x14ac:dyDescent="0.2">
      <c r="B269">
        <v>130.941</v>
      </c>
      <c r="D269">
        <v>52.546999999999997</v>
      </c>
    </row>
    <row r="270" spans="1:13" x14ac:dyDescent="0.2">
      <c r="B270">
        <f>SUM(B268:B269)</f>
        <v>225.67400000000001</v>
      </c>
      <c r="D270">
        <f>SUM(D268:D269)</f>
        <v>220.55699999999999</v>
      </c>
    </row>
    <row r="271" spans="1:13" x14ac:dyDescent="0.2">
      <c r="A271">
        <v>8</v>
      </c>
      <c r="B271">
        <v>131.66800000000001</v>
      </c>
      <c r="C271">
        <v>170</v>
      </c>
      <c r="D271">
        <v>105.771</v>
      </c>
      <c r="E271">
        <v>166</v>
      </c>
      <c r="F271">
        <f>C271/B273</f>
        <v>0.86006708523264819</v>
      </c>
      <c r="G271">
        <f>E271/D273</f>
        <v>0.79019773984405495</v>
      </c>
      <c r="H271">
        <f>AVERAGE(F271:G271)</f>
        <v>0.82513241253835157</v>
      </c>
    </row>
    <row r="272" spans="1:13" x14ac:dyDescent="0.2">
      <c r="B272">
        <v>65.991</v>
      </c>
      <c r="D272">
        <v>104.303</v>
      </c>
    </row>
    <row r="273" spans="1:12" x14ac:dyDescent="0.2">
      <c r="B273">
        <f>SUM(B271:B272)</f>
        <v>197.65899999999999</v>
      </c>
      <c r="D273">
        <f>SUM(D271:D272)</f>
        <v>210.07400000000001</v>
      </c>
    </row>
    <row r="274" spans="1:12" x14ac:dyDescent="0.2">
      <c r="A274" t="s">
        <v>144</v>
      </c>
    </row>
    <row r="275" spans="1:12" x14ac:dyDescent="0.2">
      <c r="A275">
        <v>1</v>
      </c>
      <c r="B275">
        <v>67.534000000000006</v>
      </c>
      <c r="C275">
        <v>148</v>
      </c>
      <c r="D275">
        <v>111.827</v>
      </c>
      <c r="E275">
        <v>231</v>
      </c>
      <c r="F275">
        <f>C275/B277</f>
        <v>1.1087720349712693</v>
      </c>
      <c r="G275">
        <f>E275/D277</f>
        <v>1.2898398588434996</v>
      </c>
      <c r="H275">
        <f>AVERAGE(F275:G275)</f>
        <v>1.1993059469073843</v>
      </c>
    </row>
    <row r="276" spans="1:12" x14ac:dyDescent="0.2">
      <c r="B276">
        <v>65.947000000000003</v>
      </c>
      <c r="D276">
        <v>67.265000000000001</v>
      </c>
    </row>
    <row r="277" spans="1:12" x14ac:dyDescent="0.2">
      <c r="B277">
        <f>SUM(B275:B276)</f>
        <v>133.48099999999999</v>
      </c>
      <c r="D277">
        <f>SUM(D275:D276)</f>
        <v>179.09199999999998</v>
      </c>
    </row>
    <row r="278" spans="1:12" x14ac:dyDescent="0.2">
      <c r="A278" s="1">
        <v>2</v>
      </c>
      <c r="B278" s="1">
        <v>111.021</v>
      </c>
      <c r="C278" s="1">
        <v>183</v>
      </c>
      <c r="D278" s="1">
        <v>78.433999999999997</v>
      </c>
      <c r="E278" s="1">
        <v>140</v>
      </c>
      <c r="F278" s="1">
        <f>C278/B280</f>
        <v>0.95019523136994277</v>
      </c>
      <c r="G278" s="1">
        <f>E278/D280</f>
        <v>1.035403400560597</v>
      </c>
      <c r="H278" s="1">
        <f>AVERAGE(F278:G278)</f>
        <v>0.99279931596526994</v>
      </c>
    </row>
    <row r="279" spans="1:12" x14ac:dyDescent="0.2">
      <c r="B279">
        <v>81.570999999999998</v>
      </c>
      <c r="D279">
        <v>56.779000000000003</v>
      </c>
    </row>
    <row r="280" spans="1:12" x14ac:dyDescent="0.2">
      <c r="B280">
        <f>SUM(B278:B279)</f>
        <v>192.59199999999998</v>
      </c>
      <c r="D280">
        <f>SUM(D278:D279)</f>
        <v>135.21299999999999</v>
      </c>
    </row>
    <row r="281" spans="1:12" x14ac:dyDescent="0.2">
      <c r="A281">
        <v>3</v>
      </c>
      <c r="B281">
        <v>133.393</v>
      </c>
      <c r="C281">
        <v>227</v>
      </c>
      <c r="D281">
        <v>62.591999999999999</v>
      </c>
      <c r="E281">
        <v>138</v>
      </c>
      <c r="F281">
        <f>C281/B283</f>
        <v>1.1349319040857548</v>
      </c>
      <c r="G281">
        <f>E281/D283</f>
        <v>1.2696309789958875</v>
      </c>
      <c r="H281">
        <f>AVERAGE(F281:G281)</f>
        <v>1.2022814415408212</v>
      </c>
    </row>
    <row r="282" spans="1:12" x14ac:dyDescent="0.2">
      <c r="B282">
        <v>66.619</v>
      </c>
      <c r="D282">
        <v>46.100999999999999</v>
      </c>
    </row>
    <row r="283" spans="1:12" x14ac:dyDescent="0.2">
      <c r="B283">
        <f>SUM(B281:B282)</f>
        <v>200.012</v>
      </c>
      <c r="D283">
        <f>SUM(D281:D282)</f>
        <v>108.693</v>
      </c>
    </row>
    <row r="284" spans="1:12" x14ac:dyDescent="0.2">
      <c r="A284">
        <v>4</v>
      </c>
      <c r="B284">
        <v>131.89599999999999</v>
      </c>
      <c r="C284">
        <v>224</v>
      </c>
      <c r="D284">
        <v>116.14400000000001</v>
      </c>
      <c r="E284">
        <v>232</v>
      </c>
      <c r="F284">
        <f>C284/B286</f>
        <v>1.1246447829535984</v>
      </c>
      <c r="G284">
        <f>E284/D286</f>
        <v>1.2844290657439446</v>
      </c>
      <c r="H284">
        <f>AVERAGE(F284:G284)</f>
        <v>1.2045369243487714</v>
      </c>
      <c r="J284">
        <v>1.1993059469073843</v>
      </c>
    </row>
    <row r="285" spans="1:12" x14ac:dyDescent="0.2">
      <c r="B285">
        <v>67.278000000000006</v>
      </c>
      <c r="D285">
        <v>64.480999999999995</v>
      </c>
      <c r="J285">
        <v>0.99279931596526994</v>
      </c>
      <c r="L285" s="3">
        <f>AVERAGE(J284:J291)</f>
        <v>1.0939294057037117</v>
      </c>
    </row>
    <row r="286" spans="1:12" x14ac:dyDescent="0.2">
      <c r="B286">
        <f>SUM(B284:B285)</f>
        <v>199.17399999999998</v>
      </c>
      <c r="D286">
        <f>SUM(D284:D285)</f>
        <v>180.625</v>
      </c>
      <c r="J286">
        <v>1.2022814415408212</v>
      </c>
    </row>
    <row r="287" spans="1:12" x14ac:dyDescent="0.2">
      <c r="A287">
        <v>5</v>
      </c>
      <c r="B287">
        <v>140.535</v>
      </c>
      <c r="C287">
        <v>335</v>
      </c>
      <c r="D287">
        <v>104.848</v>
      </c>
      <c r="E287">
        <v>158</v>
      </c>
      <c r="F287">
        <f>C287/B289</f>
        <v>1.2224314343682037</v>
      </c>
      <c r="G287">
        <f>E287/D289</f>
        <v>1.1401109804232843</v>
      </c>
      <c r="H287">
        <f>AVERAGE(F287:G287)</f>
        <v>1.1812712073957439</v>
      </c>
      <c r="J287">
        <v>1.2045369243487714</v>
      </c>
    </row>
    <row r="288" spans="1:12" x14ac:dyDescent="0.2">
      <c r="B288">
        <v>133.50899999999999</v>
      </c>
      <c r="D288">
        <v>33.734999999999999</v>
      </c>
      <c r="J288">
        <v>1.1812712073957439</v>
      </c>
    </row>
    <row r="289" spans="1:10" x14ac:dyDescent="0.2">
      <c r="B289">
        <f>SUM(B287:B288)</f>
        <v>274.04399999999998</v>
      </c>
      <c r="D289">
        <f>SUM(D287:D288)</f>
        <v>138.583</v>
      </c>
      <c r="J289">
        <v>1.0889855428479063</v>
      </c>
    </row>
    <row r="290" spans="1:10" x14ac:dyDescent="0.2">
      <c r="A290">
        <v>6</v>
      </c>
      <c r="B290">
        <v>138.584</v>
      </c>
      <c r="C290">
        <v>278</v>
      </c>
      <c r="D290">
        <v>56.981000000000002</v>
      </c>
      <c r="E290">
        <v>147</v>
      </c>
      <c r="F290">
        <f>C290/B292</f>
        <v>1.076467946037204</v>
      </c>
      <c r="G290">
        <f>E290/D292</f>
        <v>1.1015031396586088</v>
      </c>
      <c r="H290">
        <f>AVERAGE(F290:G290)</f>
        <v>1.0889855428479063</v>
      </c>
      <c r="J290">
        <v>1.0394301997394575</v>
      </c>
    </row>
    <row r="291" spans="1:10" x14ac:dyDescent="0.2">
      <c r="B291">
        <v>119.66800000000001</v>
      </c>
      <c r="D291">
        <v>76.472999999999999</v>
      </c>
      <c r="J291">
        <v>0.84282466688433977</v>
      </c>
    </row>
    <row r="292" spans="1:10" x14ac:dyDescent="0.2">
      <c r="B292">
        <f>SUM(B290:B291)</f>
        <v>258.25200000000001</v>
      </c>
      <c r="D292">
        <f>SUM(D290:D291)</f>
        <v>133.45400000000001</v>
      </c>
    </row>
    <row r="293" spans="1:10" x14ac:dyDescent="0.2">
      <c r="A293" s="1">
        <v>7</v>
      </c>
      <c r="B293" s="1">
        <v>130.76499999999999</v>
      </c>
      <c r="C293" s="1">
        <v>259</v>
      </c>
      <c r="D293" s="1">
        <v>115.57299999999999</v>
      </c>
      <c r="E293" s="1">
        <v>243</v>
      </c>
      <c r="F293" s="1">
        <f>C293/B295</f>
        <v>0.98684335862040073</v>
      </c>
      <c r="G293" s="1">
        <f>E293/D295</f>
        <v>1.0920170408585141</v>
      </c>
      <c r="H293" s="1">
        <f>AVERAGE(F293:G293)</f>
        <v>1.0394301997394575</v>
      </c>
    </row>
    <row r="294" spans="1:10" x14ac:dyDescent="0.2">
      <c r="B294">
        <v>131.68799999999999</v>
      </c>
      <c r="D294">
        <v>106.95099999999999</v>
      </c>
    </row>
    <row r="295" spans="1:10" x14ac:dyDescent="0.2">
      <c r="B295">
        <f>SUM(B293:B294)</f>
        <v>262.45299999999997</v>
      </c>
      <c r="D295">
        <f>SUM(D293:D294)</f>
        <v>222.524</v>
      </c>
    </row>
    <row r="296" spans="1:10" x14ac:dyDescent="0.2">
      <c r="A296" s="1">
        <v>8</v>
      </c>
      <c r="B296" s="1">
        <v>117.893</v>
      </c>
      <c r="C296" s="1">
        <v>159</v>
      </c>
      <c r="D296" s="1">
        <v>88.16</v>
      </c>
      <c r="E296" s="1">
        <v>118</v>
      </c>
      <c r="F296" s="1">
        <f>C296/B298</f>
        <v>0.89978948321524777</v>
      </c>
      <c r="G296" s="1">
        <f>E296/D298</f>
        <v>0.78585985055343188</v>
      </c>
      <c r="H296" s="1">
        <f>AVERAGE(F296:G296)</f>
        <v>0.84282466688433977</v>
      </c>
    </row>
    <row r="297" spans="1:10" x14ac:dyDescent="0.2">
      <c r="B297">
        <v>58.814999999999998</v>
      </c>
      <c r="D297">
        <v>61.994</v>
      </c>
    </row>
    <row r="298" spans="1:10" x14ac:dyDescent="0.2">
      <c r="B298">
        <f>SUM(B296:B297)</f>
        <v>176.708</v>
      </c>
      <c r="D298">
        <f>SUM(D296:D297)</f>
        <v>150.154</v>
      </c>
    </row>
    <row r="299" spans="1:10" x14ac:dyDescent="0.2">
      <c r="A299" t="s">
        <v>142</v>
      </c>
    </row>
    <row r="300" spans="1:10" x14ac:dyDescent="0.2">
      <c r="A300" s="1">
        <v>1</v>
      </c>
      <c r="B300" s="1">
        <v>190.803</v>
      </c>
      <c r="C300" s="1">
        <v>184</v>
      </c>
      <c r="D300" s="1">
        <v>146.297</v>
      </c>
      <c r="E300" s="1">
        <v>133</v>
      </c>
      <c r="F300" s="1">
        <f>C300/B302</f>
        <v>0.68263944023565892</v>
      </c>
      <c r="G300" s="1">
        <f>E300/D302</f>
        <v>0.66676358969474259</v>
      </c>
      <c r="H300" s="1">
        <f>AVERAGE(F300:G300)</f>
        <v>0.6747015149652007</v>
      </c>
    </row>
    <row r="301" spans="1:10" x14ac:dyDescent="0.2">
      <c r="B301">
        <v>78.739000000000004</v>
      </c>
      <c r="D301">
        <v>53.173999999999999</v>
      </c>
    </row>
    <row r="302" spans="1:10" x14ac:dyDescent="0.2">
      <c r="B302">
        <f>SUM(B300:B301)</f>
        <v>269.54200000000003</v>
      </c>
      <c r="D302">
        <f>SUM(D300:D301)</f>
        <v>199.471</v>
      </c>
    </row>
    <row r="303" spans="1:10" x14ac:dyDescent="0.2">
      <c r="A303">
        <v>2</v>
      </c>
      <c r="B303">
        <v>112.779</v>
      </c>
      <c r="C303">
        <v>150</v>
      </c>
      <c r="D303">
        <v>126.10299999999999</v>
      </c>
      <c r="E303">
        <v>247</v>
      </c>
      <c r="F303">
        <f>C303/B305</f>
        <v>0.97979659422703858</v>
      </c>
      <c r="G303">
        <f>E303/D305</f>
        <v>0.99592758356517885</v>
      </c>
      <c r="H303">
        <f>AVERAGE(F303:G303)</f>
        <v>0.98786208889610871</v>
      </c>
    </row>
    <row r="304" spans="1:10" x14ac:dyDescent="0.2">
      <c r="B304">
        <v>40.314</v>
      </c>
      <c r="D304">
        <v>121.907</v>
      </c>
    </row>
    <row r="305" spans="1:12" x14ac:dyDescent="0.2">
      <c r="B305">
        <f>SUM(B303:B304)</f>
        <v>153.09299999999999</v>
      </c>
      <c r="D305">
        <f>SUM(D303:D304)</f>
        <v>248.01</v>
      </c>
    </row>
    <row r="306" spans="1:12" x14ac:dyDescent="0.2">
      <c r="A306">
        <v>3</v>
      </c>
      <c r="B306">
        <v>97.366</v>
      </c>
      <c r="C306">
        <v>183</v>
      </c>
      <c r="D306">
        <v>81.254999999999995</v>
      </c>
      <c r="E306">
        <v>169</v>
      </c>
      <c r="F306">
        <f>C306/B308</f>
        <v>0.94111596811519671</v>
      </c>
      <c r="G306">
        <f>E306/D308</f>
        <v>1.2995501557153295</v>
      </c>
      <c r="H306">
        <f>AVERAGE(F306:G306)</f>
        <v>1.1203330619152632</v>
      </c>
      <c r="J306">
        <v>0.6747015149652007</v>
      </c>
      <c r="L306" s="3">
        <f>AVERAGE(J306:J312)</f>
        <v>0.80863710835250768</v>
      </c>
    </row>
    <row r="307" spans="1:12" x14ac:dyDescent="0.2">
      <c r="B307">
        <v>97.084000000000003</v>
      </c>
      <c r="D307">
        <v>48.79</v>
      </c>
      <c r="J307">
        <v>0.98786208889610871</v>
      </c>
    </row>
    <row r="308" spans="1:12" x14ac:dyDescent="0.2">
      <c r="B308">
        <f>SUM(B306:B307)</f>
        <v>194.45</v>
      </c>
      <c r="D308">
        <f>SUM(D306:D307)</f>
        <v>130.04499999999999</v>
      </c>
      <c r="J308">
        <v>1.1203330619152632</v>
      </c>
    </row>
    <row r="309" spans="1:12" x14ac:dyDescent="0.2">
      <c r="A309">
        <v>4</v>
      </c>
      <c r="B309">
        <v>92.628</v>
      </c>
      <c r="C309">
        <v>185</v>
      </c>
      <c r="D309">
        <v>79.069000000000003</v>
      </c>
      <c r="E309">
        <v>89</v>
      </c>
      <c r="F309">
        <f>C309/B311</f>
        <v>1.0935292622519608</v>
      </c>
      <c r="G309">
        <f>E309/D311</f>
        <v>0.6640304409460569</v>
      </c>
      <c r="H309">
        <f>AVERAGE(F309:G309)</f>
        <v>0.87877985159900884</v>
      </c>
      <c r="J309">
        <v>0.87877985159900884</v>
      </c>
    </row>
    <row r="310" spans="1:12" x14ac:dyDescent="0.2">
      <c r="B310">
        <v>76.549000000000007</v>
      </c>
      <c r="D310">
        <v>54.960999999999999</v>
      </c>
      <c r="J310">
        <v>0.65641215807484887</v>
      </c>
    </row>
    <row r="311" spans="1:12" x14ac:dyDescent="0.2">
      <c r="B311">
        <f>SUM(B309:B310)</f>
        <v>169.17700000000002</v>
      </c>
      <c r="D311">
        <f>SUM(D309:D310)</f>
        <v>134.03</v>
      </c>
      <c r="J311">
        <v>0.82495215971198876</v>
      </c>
    </row>
    <row r="312" spans="1:12" x14ac:dyDescent="0.2">
      <c r="A312" s="1">
        <v>5</v>
      </c>
      <c r="B312" s="1">
        <v>152.583</v>
      </c>
      <c r="C312" s="1">
        <v>208</v>
      </c>
      <c r="D312" s="1">
        <v>85.21</v>
      </c>
      <c r="E312" s="1">
        <v>75</v>
      </c>
      <c r="F312" s="1">
        <f>C312/B314</f>
        <v>0.7829350276850342</v>
      </c>
      <c r="G312" s="1">
        <f>E312/D314</f>
        <v>0.52988928846466354</v>
      </c>
      <c r="H312" s="1">
        <f>AVERAGE(F312:G312)</f>
        <v>0.65641215807484887</v>
      </c>
      <c r="J312">
        <v>0.5174189233051345</v>
      </c>
    </row>
    <row r="313" spans="1:12" x14ac:dyDescent="0.2">
      <c r="B313">
        <v>113.084</v>
      </c>
      <c r="D313">
        <v>56.329000000000001</v>
      </c>
    </row>
    <row r="314" spans="1:12" x14ac:dyDescent="0.2">
      <c r="B314">
        <f>SUM(B312:B313)</f>
        <v>265.66700000000003</v>
      </c>
      <c r="D314">
        <f>SUM(D312:D313)</f>
        <v>141.53899999999999</v>
      </c>
    </row>
    <row r="315" spans="1:12" x14ac:dyDescent="0.2">
      <c r="A315">
        <v>6</v>
      </c>
      <c r="B315">
        <v>241.965</v>
      </c>
      <c r="C315">
        <v>251</v>
      </c>
      <c r="D315">
        <v>51.52</v>
      </c>
      <c r="E315">
        <v>92</v>
      </c>
      <c r="F315">
        <f>C315/B317</f>
        <v>0.90839341034772281</v>
      </c>
      <c r="G315">
        <f>E315/D317</f>
        <v>0.74151090907625472</v>
      </c>
      <c r="H315">
        <f>AVERAGE(F315:G315)</f>
        <v>0.82495215971198876</v>
      </c>
    </row>
    <row r="316" spans="1:12" x14ac:dyDescent="0.2">
      <c r="B316">
        <v>34.347000000000001</v>
      </c>
      <c r="D316">
        <v>72.551000000000002</v>
      </c>
    </row>
    <row r="317" spans="1:12" x14ac:dyDescent="0.2">
      <c r="B317">
        <f>SUM(B315:B316)</f>
        <v>276.31200000000001</v>
      </c>
      <c r="D317">
        <f>SUM(D315:D316)</f>
        <v>124.071</v>
      </c>
    </row>
    <row r="318" spans="1:12" x14ac:dyDescent="0.2">
      <c r="A318" s="1">
        <v>7</v>
      </c>
      <c r="B318" s="1">
        <v>105.77800000000001</v>
      </c>
      <c r="C318" s="1">
        <v>105</v>
      </c>
      <c r="D318" s="1">
        <v>113.953</v>
      </c>
      <c r="E318" s="1">
        <v>131</v>
      </c>
      <c r="F318" s="1">
        <f>C318/B320</f>
        <v>0.50596801318408069</v>
      </c>
      <c r="G318" s="1">
        <f>E318/D320</f>
        <v>0.52886983342618832</v>
      </c>
      <c r="H318" s="1">
        <f>AVERAGE(F318:G318)</f>
        <v>0.5174189233051345</v>
      </c>
    </row>
    <row r="319" spans="1:12" x14ac:dyDescent="0.2">
      <c r="B319">
        <v>101.745</v>
      </c>
      <c r="D319">
        <v>133.745</v>
      </c>
    </row>
    <row r="320" spans="1:12" x14ac:dyDescent="0.2">
      <c r="B320">
        <f>SUM(B318:B319)</f>
        <v>207.52300000000002</v>
      </c>
      <c r="D320">
        <f>SUM(D318:D319)</f>
        <v>247.69800000000001</v>
      </c>
    </row>
    <row r="325" spans="2:11" x14ac:dyDescent="0.2">
      <c r="B325" t="s">
        <v>146</v>
      </c>
    </row>
    <row r="327" spans="2:1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2:11" x14ac:dyDescent="0.2">
      <c r="B328" s="4"/>
      <c r="C328" s="4"/>
      <c r="D328" s="4" t="s">
        <v>2</v>
      </c>
      <c r="E328" s="4" t="s">
        <v>3</v>
      </c>
      <c r="F328" s="4" t="s">
        <v>4</v>
      </c>
      <c r="G328" s="4"/>
      <c r="H328" s="4" t="s">
        <v>147</v>
      </c>
      <c r="I328" s="4"/>
      <c r="J328" s="4"/>
      <c r="K328" s="4"/>
    </row>
    <row r="329" spans="2:11" x14ac:dyDescent="0.2">
      <c r="B329" s="4" t="s">
        <v>141</v>
      </c>
      <c r="C329" s="4"/>
      <c r="D329" s="4">
        <v>1.011698</v>
      </c>
      <c r="E329" s="4">
        <v>1.0108699999999999</v>
      </c>
      <c r="F329" s="4">
        <v>1.0939289999999999</v>
      </c>
      <c r="G329" s="4"/>
      <c r="H329" s="4">
        <v>1</v>
      </c>
      <c r="I329" s="4">
        <v>1</v>
      </c>
      <c r="J329" s="4">
        <v>1</v>
      </c>
      <c r="K329" s="4"/>
    </row>
    <row r="330" spans="2:11" x14ac:dyDescent="0.2">
      <c r="B330" s="4" t="s">
        <v>142</v>
      </c>
      <c r="C330" s="4"/>
      <c r="D330" s="4">
        <v>0.79613999999999996</v>
      </c>
      <c r="E330" s="4">
        <v>0.80935800000000002</v>
      </c>
      <c r="F330" s="4">
        <v>0.80863700000000005</v>
      </c>
      <c r="G330" s="4"/>
      <c r="H330" s="4">
        <v>0.78693500000000005</v>
      </c>
      <c r="I330" s="4">
        <v>0.80065500000000001</v>
      </c>
      <c r="J330" s="4">
        <v>0.73920399999999997</v>
      </c>
      <c r="K330" s="4"/>
    </row>
    <row r="331" spans="2:11" x14ac:dyDescent="0.2">
      <c r="B331" s="4" t="s">
        <v>138</v>
      </c>
      <c r="C331" s="4"/>
      <c r="D331" s="4">
        <v>1.1523140000000001</v>
      </c>
      <c r="E331" s="4">
        <v>1.2896209999999999</v>
      </c>
      <c r="F331" s="4">
        <v>1.347653</v>
      </c>
      <c r="G331" s="4"/>
      <c r="H331" s="4">
        <v>1.1389899999999999</v>
      </c>
      <c r="I331" s="4">
        <v>1.2757540000000001</v>
      </c>
      <c r="J331" s="4">
        <v>1.231938</v>
      </c>
      <c r="K331" s="4"/>
    </row>
    <row r="332" spans="2:11" x14ac:dyDescent="0.2">
      <c r="B332" s="4" t="s">
        <v>140</v>
      </c>
      <c r="C332" s="4"/>
      <c r="D332" s="4">
        <v>1.3639829999999999</v>
      </c>
      <c r="E332" s="4">
        <v>1.393211</v>
      </c>
      <c r="F332" s="4">
        <v>1.220278</v>
      </c>
      <c r="G332" s="4"/>
      <c r="H332" s="4">
        <v>1.348211</v>
      </c>
      <c r="I332" s="4">
        <v>1.3782300000000001</v>
      </c>
      <c r="J332" s="4">
        <v>1.1154999999999999</v>
      </c>
      <c r="K332" s="4"/>
    </row>
    <row r="333" spans="2:1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2:11" x14ac:dyDescent="0.2">
      <c r="B334" s="4"/>
      <c r="C334" s="4"/>
      <c r="D334" s="4" t="s">
        <v>148</v>
      </c>
      <c r="E334" s="4"/>
      <c r="F334" s="4"/>
      <c r="G334" s="4"/>
      <c r="H334" s="4"/>
      <c r="I334" s="4"/>
      <c r="J334" s="4"/>
      <c r="K334" s="4"/>
    </row>
    <row r="335" spans="2:11" x14ac:dyDescent="0.2">
      <c r="B335" s="4"/>
      <c r="C335" s="4" t="s">
        <v>101</v>
      </c>
      <c r="D335" s="4">
        <v>0.78693500000000005</v>
      </c>
      <c r="E335" s="4">
        <v>0.80065500000000001</v>
      </c>
      <c r="F335" s="4">
        <v>0.73920399999999997</v>
      </c>
      <c r="G335" s="4"/>
      <c r="H335" s="4"/>
      <c r="I335" s="4"/>
      <c r="J335" s="4"/>
      <c r="K335" s="4"/>
    </row>
    <row r="336" spans="2:11" x14ac:dyDescent="0.2">
      <c r="B336" s="4"/>
      <c r="C336" s="4" t="s">
        <v>122</v>
      </c>
      <c r="D336" s="4">
        <v>1.1836899999999999</v>
      </c>
      <c r="E336" s="4">
        <v>1.0803259999999999</v>
      </c>
      <c r="F336" s="4">
        <v>0.90548399999999996</v>
      </c>
      <c r="G336" s="4"/>
      <c r="H336" s="4"/>
      <c r="I336" s="4"/>
      <c r="J336" s="4"/>
      <c r="K336" s="4"/>
    </row>
    <row r="337" spans="2:1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</row>
  </sheetData>
  <mergeCells count="2">
    <mergeCell ref="B2:D2"/>
    <mergeCell ref="E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145E-F591-A643-A66C-9E1F5BD66ECA}">
  <dimension ref="B5:L28"/>
  <sheetViews>
    <sheetView topLeftCell="A16" workbookViewId="0">
      <selection activeCell="D25" sqref="D25"/>
    </sheetView>
  </sheetViews>
  <sheetFormatPr baseColWidth="10" defaultRowHeight="16" x14ac:dyDescent="0.2"/>
  <sheetData>
    <row r="5" spans="2:10" x14ac:dyDescent="0.2">
      <c r="B5" s="18" t="s">
        <v>154</v>
      </c>
      <c r="C5" s="18"/>
      <c r="D5" s="18"/>
      <c r="E5" s="18" t="s">
        <v>0</v>
      </c>
      <c r="F5" s="18"/>
      <c r="G5" s="18"/>
      <c r="H5" s="18" t="s">
        <v>1</v>
      </c>
      <c r="I5" s="18"/>
      <c r="J5" s="18"/>
    </row>
    <row r="6" spans="2:10" x14ac:dyDescent="0.2">
      <c r="B6" s="12">
        <v>1</v>
      </c>
      <c r="C6" s="12">
        <v>1</v>
      </c>
      <c r="D6" s="12">
        <v>1</v>
      </c>
      <c r="E6" s="12">
        <v>1.2113659999999999</v>
      </c>
      <c r="F6" s="12">
        <v>1.6107</v>
      </c>
      <c r="G6" s="12">
        <v>1.2993209999999999</v>
      </c>
      <c r="H6" s="12">
        <v>0.74827200000000005</v>
      </c>
      <c r="I6" s="12">
        <v>0.41896800000000001</v>
      </c>
      <c r="J6" s="12">
        <v>0.186585</v>
      </c>
    </row>
    <row r="16" spans="2:10" x14ac:dyDescent="0.2">
      <c r="B16" t="s">
        <v>149</v>
      </c>
    </row>
    <row r="17" spans="2:12" x14ac:dyDescent="0.2">
      <c r="C17" t="s">
        <v>2</v>
      </c>
      <c r="D17" t="s">
        <v>3</v>
      </c>
      <c r="E17" t="s">
        <v>4</v>
      </c>
      <c r="F17" t="s">
        <v>12</v>
      </c>
      <c r="G17" t="s">
        <v>150</v>
      </c>
      <c r="H17" t="s">
        <v>151</v>
      </c>
      <c r="I17" t="s">
        <v>152</v>
      </c>
      <c r="J17" t="s">
        <v>153</v>
      </c>
      <c r="K17" t="s">
        <v>12</v>
      </c>
      <c r="L17" t="s">
        <v>150</v>
      </c>
    </row>
    <row r="18" spans="2:12" x14ac:dyDescent="0.2">
      <c r="B18" t="s">
        <v>154</v>
      </c>
      <c r="C18">
        <v>0.39383653763419302</v>
      </c>
      <c r="D18">
        <v>0.40829724228399988</v>
      </c>
      <c r="E18">
        <v>0.35053437710262114</v>
      </c>
      <c r="F18">
        <f>AVERAGE(C18:E18)</f>
        <v>0.384222719006938</v>
      </c>
      <c r="G18">
        <f>STDEV(C18:E18)</f>
        <v>3.0057549466629023E-2</v>
      </c>
      <c r="H18" s="19">
        <v>1</v>
      </c>
      <c r="I18" s="19">
        <v>1</v>
      </c>
      <c r="J18" s="19">
        <v>1</v>
      </c>
      <c r="K18">
        <f>AVERAGE(H18:J18)</f>
        <v>1</v>
      </c>
      <c r="L18">
        <f>STDEV(H18:J18)</f>
        <v>0</v>
      </c>
    </row>
    <row r="19" spans="2:12" x14ac:dyDescent="0.2">
      <c r="B19" t="s">
        <v>155</v>
      </c>
      <c r="C19">
        <v>0.47708075654185966</v>
      </c>
      <c r="D19">
        <v>0.6576438019566998</v>
      </c>
      <c r="E19">
        <v>0.45545610916949797</v>
      </c>
      <c r="F19">
        <f t="shared" ref="F19:F20" si="0">AVERAGE(C19:E19)</f>
        <v>0.53006022255601914</v>
      </c>
      <c r="G19">
        <f t="shared" ref="G19:G20" si="1">STDEV(C19:E19)</f>
        <v>0.11101839326441383</v>
      </c>
      <c r="H19" s="19">
        <v>1.2113660132030755</v>
      </c>
      <c r="I19" s="19">
        <v>1.6106995690801054</v>
      </c>
      <c r="J19" s="19">
        <v>1.2993207767848425</v>
      </c>
      <c r="K19">
        <f t="shared" ref="K19:K20" si="2">AVERAGE(H19:J19)</f>
        <v>1.3737954530226746</v>
      </c>
      <c r="L19">
        <f t="shared" ref="L19:L20" si="3">STDEV(H19:J19)</f>
        <v>0.20982535657754767</v>
      </c>
    </row>
    <row r="20" spans="2:12" x14ac:dyDescent="0.2">
      <c r="B20" t="s">
        <v>156</v>
      </c>
      <c r="C20">
        <v>0.29469726121266537</v>
      </c>
      <c r="D20">
        <v>0.17106347677795034</v>
      </c>
      <c r="E20">
        <v>6.5404481302585152E-2</v>
      </c>
      <c r="F20">
        <f t="shared" si="0"/>
        <v>0.17705507309773361</v>
      </c>
      <c r="G20">
        <f t="shared" si="1"/>
        <v>0.11476375364010867</v>
      </c>
      <c r="H20" s="19">
        <v>0.74827215627954047</v>
      </c>
      <c r="I20" s="19">
        <v>0.41896824316110659</v>
      </c>
      <c r="J20" s="19">
        <v>0.18658527076570361</v>
      </c>
      <c r="K20">
        <f t="shared" si="2"/>
        <v>0.4512752234021169</v>
      </c>
      <c r="L20">
        <f t="shared" si="3"/>
        <v>0.28223367104011221</v>
      </c>
    </row>
    <row r="25" spans="2:12" x14ac:dyDescent="0.2">
      <c r="B25" t="s">
        <v>190</v>
      </c>
    </row>
    <row r="26" spans="2:12" x14ac:dyDescent="0.2">
      <c r="B26" t="s">
        <v>154</v>
      </c>
      <c r="C26">
        <v>0.31455027912717215</v>
      </c>
      <c r="D26">
        <v>0.93497565959181339</v>
      </c>
      <c r="E26">
        <v>0.57494627463187398</v>
      </c>
      <c r="F26">
        <f>AVERAGE(C26:E26)</f>
        <v>0.60815740445028643</v>
      </c>
      <c r="G26">
        <f>STDEV(C26:E26)</f>
        <v>0.3115431712283796</v>
      </c>
      <c r="H26">
        <v>1</v>
      </c>
      <c r="I26">
        <v>1</v>
      </c>
      <c r="J26">
        <v>1</v>
      </c>
      <c r="K26">
        <f>AVERAGE(H26:J26)</f>
        <v>1</v>
      </c>
      <c r="L26">
        <f>STDEV(H26:J26)</f>
        <v>0</v>
      </c>
    </row>
    <row r="27" spans="2:12" x14ac:dyDescent="0.2">
      <c r="B27" t="s">
        <v>155</v>
      </c>
      <c r="C27">
        <v>0.4188498155649556</v>
      </c>
      <c r="D27">
        <v>1.1643473851551367</v>
      </c>
      <c r="E27">
        <v>0.6945227129675513</v>
      </c>
      <c r="F27">
        <f t="shared" ref="F27:F28" si="4">AVERAGE(C27:E27)</f>
        <v>0.75923997122921449</v>
      </c>
      <c r="G27">
        <f t="shared" ref="G27:G28" si="5">STDEV(C27:E27)</f>
        <v>0.37693885340184413</v>
      </c>
      <c r="H27">
        <v>1.3315842173420938</v>
      </c>
      <c r="I27">
        <v>1.245323286539052</v>
      </c>
      <c r="J27">
        <v>1.2079790327570787</v>
      </c>
      <c r="K27">
        <f t="shared" ref="K27:K28" si="6">AVERAGE(H27:J27)</f>
        <v>1.2616288455460749</v>
      </c>
      <c r="L27">
        <f t="shared" ref="L27:L28" si="7">STDEV(H27:J27)</f>
        <v>6.3395298366460393E-2</v>
      </c>
    </row>
    <row r="28" spans="2:12" x14ac:dyDescent="0.2">
      <c r="B28" t="s">
        <v>156</v>
      </c>
      <c r="C28" s="1">
        <v>3.8422679129741781E-2</v>
      </c>
      <c r="D28" s="1">
        <v>9.2581395631383522E-3</v>
      </c>
      <c r="E28">
        <v>1.1987603197922097E-2</v>
      </c>
      <c r="F28">
        <f t="shared" si="4"/>
        <v>1.9889473963600742E-2</v>
      </c>
      <c r="G28">
        <f t="shared" si="5"/>
        <v>1.6108142761693828E-2</v>
      </c>
      <c r="H28">
        <v>0.12215126094338509</v>
      </c>
      <c r="I28">
        <v>9.9020077126454071E-3</v>
      </c>
      <c r="J28">
        <v>2.0849963645145974E-2</v>
      </c>
      <c r="K28">
        <f t="shared" si="6"/>
        <v>5.0967744100392155E-2</v>
      </c>
      <c r="L28">
        <f t="shared" si="7"/>
        <v>6.1889290167019106E-2</v>
      </c>
    </row>
  </sheetData>
  <mergeCells count="3">
    <mergeCell ref="B5:D5"/>
    <mergeCell ref="E5:G5"/>
    <mergeCell ref="H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266A-C63E-7849-AD5E-244100BB4F31}">
  <dimension ref="A2:G48"/>
  <sheetViews>
    <sheetView topLeftCell="A17" workbookViewId="0">
      <selection activeCell="C48" sqref="C48:F48"/>
    </sheetView>
  </sheetViews>
  <sheetFormatPr baseColWidth="10" defaultRowHeight="16" x14ac:dyDescent="0.2"/>
  <sheetData>
    <row r="2" spans="1:7" x14ac:dyDescent="0.2">
      <c r="A2" s="20"/>
      <c r="B2" s="18" t="s">
        <v>0</v>
      </c>
      <c r="C2" s="18"/>
      <c r="D2" s="18"/>
      <c r="E2" s="18" t="s">
        <v>1</v>
      </c>
      <c r="F2" s="18"/>
      <c r="G2" s="18"/>
    </row>
    <row r="3" spans="1:7" x14ac:dyDescent="0.2">
      <c r="A3" s="13" t="s">
        <v>5</v>
      </c>
      <c r="B3" s="12">
        <v>249321.4</v>
      </c>
      <c r="C3" s="12">
        <v>211916.2</v>
      </c>
      <c r="D3" s="12">
        <v>192617.5</v>
      </c>
      <c r="E3" s="12">
        <v>170471.6</v>
      </c>
      <c r="F3" s="12">
        <v>186726.1</v>
      </c>
      <c r="G3" s="12">
        <v>162048.6</v>
      </c>
    </row>
    <row r="4" spans="1:7" x14ac:dyDescent="0.2">
      <c r="A4" s="13" t="s">
        <v>6</v>
      </c>
      <c r="B4" s="12">
        <v>202950.5</v>
      </c>
      <c r="C4" s="12">
        <v>203792.4</v>
      </c>
      <c r="D4" s="12">
        <v>166878.70000000001</v>
      </c>
      <c r="E4" s="12">
        <v>151968.70000000001</v>
      </c>
      <c r="F4" s="12">
        <v>185343.8</v>
      </c>
      <c r="G4" s="12">
        <v>153230.29999999999</v>
      </c>
    </row>
    <row r="9" spans="1:7" x14ac:dyDescent="0.2">
      <c r="B9" t="s">
        <v>157</v>
      </c>
    </row>
    <row r="10" spans="1:7" x14ac:dyDescent="0.2">
      <c r="C10" t="s">
        <v>94</v>
      </c>
      <c r="D10" t="s">
        <v>99</v>
      </c>
      <c r="E10" t="s">
        <v>97</v>
      </c>
      <c r="F10" t="s">
        <v>100</v>
      </c>
    </row>
    <row r="11" spans="1:7" x14ac:dyDescent="0.2">
      <c r="C11" s="10">
        <v>320817.5</v>
      </c>
      <c r="D11" s="10">
        <v>148532.4</v>
      </c>
      <c r="E11" s="10">
        <v>190539.3</v>
      </c>
      <c r="F11" s="10">
        <v>148532.4</v>
      </c>
    </row>
    <row r="12" spans="1:7" x14ac:dyDescent="0.2">
      <c r="C12" s="10">
        <v>257164</v>
      </c>
      <c r="D12" s="10">
        <v>251961.9</v>
      </c>
      <c r="E12" s="10">
        <v>119313.8</v>
      </c>
      <c r="F12" s="10">
        <v>189352.6</v>
      </c>
    </row>
    <row r="13" spans="1:7" x14ac:dyDescent="0.2">
      <c r="C13" s="10">
        <v>271224.3</v>
      </c>
      <c r="D13" s="10">
        <v>227675.8</v>
      </c>
      <c r="E13" s="10">
        <v>151816.4</v>
      </c>
      <c r="F13" s="10">
        <v>145855.20000000001</v>
      </c>
    </row>
    <row r="14" spans="1:7" x14ac:dyDescent="0.2">
      <c r="C14" s="10">
        <v>191628.3</v>
      </c>
      <c r="D14" s="10">
        <v>205949.3</v>
      </c>
      <c r="E14" s="10">
        <v>184964.4</v>
      </c>
      <c r="F14" s="10">
        <v>239746</v>
      </c>
    </row>
    <row r="15" spans="1:7" x14ac:dyDescent="0.2">
      <c r="C15" s="10">
        <v>248361.9</v>
      </c>
      <c r="D15" s="10">
        <v>101674.3</v>
      </c>
      <c r="E15" s="10">
        <v>199283.5</v>
      </c>
      <c r="F15" s="10">
        <v>117466.7</v>
      </c>
    </row>
    <row r="16" spans="1:7" x14ac:dyDescent="0.2">
      <c r="C16" s="10">
        <v>235483</v>
      </c>
      <c r="D16" s="10">
        <v>220344.7</v>
      </c>
      <c r="E16" s="10">
        <v>257154.4</v>
      </c>
      <c r="F16" s="10">
        <v>73472.539999999994</v>
      </c>
    </row>
    <row r="17" spans="2:6" x14ac:dyDescent="0.2">
      <c r="C17" s="10">
        <v>220570.9</v>
      </c>
      <c r="D17" s="10">
        <v>185308.2</v>
      </c>
      <c r="E17" s="10">
        <v>233444.4</v>
      </c>
      <c r="F17" s="10">
        <v>116299</v>
      </c>
    </row>
    <row r="18" spans="2:6" x14ac:dyDescent="0.2">
      <c r="D18" s="10">
        <v>144040.4</v>
      </c>
      <c r="E18" s="10">
        <v>173364</v>
      </c>
      <c r="F18" s="10">
        <v>153201.5</v>
      </c>
    </row>
    <row r="19" spans="2:6" x14ac:dyDescent="0.2">
      <c r="D19" s="10">
        <v>144125.1</v>
      </c>
      <c r="E19" s="10">
        <v>316674</v>
      </c>
      <c r="F19" s="10">
        <v>165063.79999999999</v>
      </c>
    </row>
    <row r="20" spans="2:6" x14ac:dyDescent="0.2">
      <c r="D20" s="10">
        <v>120860.6</v>
      </c>
      <c r="F20" s="10">
        <v>170696.8</v>
      </c>
    </row>
    <row r="21" spans="2:6" x14ac:dyDescent="0.2">
      <c r="D21" s="10">
        <v>124714.6</v>
      </c>
    </row>
    <row r="22" spans="2:6" x14ac:dyDescent="0.2">
      <c r="C22" s="19">
        <f>AVERAGE(C11:C21)</f>
        <v>249321.41428571427</v>
      </c>
      <c r="D22" s="19">
        <f t="shared" ref="D22:F22" si="0">AVERAGE(D11:D21)</f>
        <v>170471.57272727272</v>
      </c>
      <c r="E22" s="19">
        <f t="shared" si="0"/>
        <v>202950.46666666667</v>
      </c>
      <c r="F22" s="19">
        <f t="shared" si="0"/>
        <v>151968.65400000001</v>
      </c>
    </row>
    <row r="25" spans="2:6" x14ac:dyDescent="0.2">
      <c r="B25" t="s">
        <v>158</v>
      </c>
    </row>
    <row r="26" spans="2:6" x14ac:dyDescent="0.2">
      <c r="C26" t="s">
        <v>94</v>
      </c>
      <c r="D26" t="s">
        <v>99</v>
      </c>
      <c r="E26" t="s">
        <v>97</v>
      </c>
      <c r="F26" t="s">
        <v>100</v>
      </c>
    </row>
    <row r="27" spans="2:6" x14ac:dyDescent="0.2">
      <c r="C27">
        <v>192701.79333333299</v>
      </c>
      <c r="D27">
        <v>162711.48920863299</v>
      </c>
      <c r="E27">
        <v>203027.96026490099</v>
      </c>
      <c r="F27">
        <v>231580.13292433499</v>
      </c>
    </row>
    <row r="28" spans="2:6" x14ac:dyDescent="0.2">
      <c r="C28">
        <v>205727.933194154</v>
      </c>
      <c r="D28">
        <v>183808.05924170601</v>
      </c>
      <c r="E28">
        <v>193929.357798165</v>
      </c>
      <c r="F28">
        <v>188867.339694656</v>
      </c>
    </row>
    <row r="29" spans="2:6" x14ac:dyDescent="0.2">
      <c r="C29">
        <v>231938.188299817</v>
      </c>
      <c r="D29">
        <v>168236.70736434101</v>
      </c>
      <c r="E29" s="8">
        <v>195396.369565217</v>
      </c>
      <c r="F29">
        <v>168632.34146341501</v>
      </c>
    </row>
    <row r="30" spans="2:6" x14ac:dyDescent="0.2">
      <c r="C30">
        <v>238222.518450184</v>
      </c>
      <c r="D30">
        <v>263830.54382022499</v>
      </c>
      <c r="E30">
        <v>108140.415162455</v>
      </c>
      <c r="F30">
        <v>177878.23518851001</v>
      </c>
    </row>
    <row r="31" spans="2:6" x14ac:dyDescent="0.2">
      <c r="C31">
        <v>202137.22466960401</v>
      </c>
      <c r="D31">
        <v>165819.17785234901</v>
      </c>
      <c r="E31">
        <v>236616.39090909099</v>
      </c>
      <c r="F31">
        <v>178940.93939393901</v>
      </c>
    </row>
    <row r="32" spans="2:6" x14ac:dyDescent="0.2">
      <c r="C32">
        <v>209310.93396226401</v>
      </c>
      <c r="D32">
        <v>184121.249158249</v>
      </c>
      <c r="E32">
        <v>223419.80180180201</v>
      </c>
      <c r="F32">
        <v>175117.671875</v>
      </c>
    </row>
    <row r="33" spans="2:6" x14ac:dyDescent="0.2">
      <c r="C33">
        <v>203374.88446215101</v>
      </c>
      <c r="D33">
        <v>178555.237068966</v>
      </c>
      <c r="E33">
        <v>242667.61006289301</v>
      </c>
      <c r="F33">
        <v>176390.077777778</v>
      </c>
    </row>
    <row r="34" spans="2:6" x14ac:dyDescent="0.2">
      <c r="E34">
        <v>227140.80637254901</v>
      </c>
    </row>
    <row r="35" spans="2:6" x14ac:dyDescent="0.2">
      <c r="C35" s="19">
        <f>AVERAGE(C24:C34)</f>
        <v>211916.2109102153</v>
      </c>
      <c r="D35" s="19">
        <f t="shared" ref="D35:F35" si="1">AVERAGE(D24:D34)</f>
        <v>186726.06624492418</v>
      </c>
      <c r="E35" s="19">
        <f t="shared" si="1"/>
        <v>203792.33899213411</v>
      </c>
      <c r="F35" s="19">
        <f t="shared" si="1"/>
        <v>185343.81975966186</v>
      </c>
    </row>
    <row r="38" spans="2:6" x14ac:dyDescent="0.2">
      <c r="B38" t="s">
        <v>159</v>
      </c>
    </row>
    <row r="39" spans="2:6" x14ac:dyDescent="0.2">
      <c r="C39" t="s">
        <v>94</v>
      </c>
      <c r="D39" t="s">
        <v>99</v>
      </c>
      <c r="E39" t="s">
        <v>97</v>
      </c>
      <c r="F39" t="s">
        <v>100</v>
      </c>
    </row>
    <row r="40" spans="2:6" x14ac:dyDescent="0.2">
      <c r="C40">
        <v>208314.64231738</v>
      </c>
      <c r="D40">
        <v>237795.429310345</v>
      </c>
      <c r="E40">
        <v>157281.72942817301</v>
      </c>
      <c r="F40">
        <v>150591.93865030701</v>
      </c>
    </row>
    <row r="41" spans="2:6" x14ac:dyDescent="0.2">
      <c r="C41">
        <v>185583.905769231</v>
      </c>
      <c r="D41">
        <v>171612.60851063801</v>
      </c>
      <c r="E41">
        <v>170076.136107987</v>
      </c>
      <c r="F41">
        <v>126349.930167598</v>
      </c>
    </row>
    <row r="42" spans="2:6" x14ac:dyDescent="0.2">
      <c r="C42">
        <v>199840.00570342201</v>
      </c>
      <c r="D42">
        <v>178083.53958944301</v>
      </c>
      <c r="E42">
        <v>166961.013615734</v>
      </c>
      <c r="F42">
        <v>162745.07482993201</v>
      </c>
    </row>
    <row r="43" spans="2:6" x14ac:dyDescent="0.2">
      <c r="C43">
        <v>157154.92394822001</v>
      </c>
      <c r="D43">
        <v>143733.13904982599</v>
      </c>
      <c r="E43">
        <v>172180.48920187799</v>
      </c>
      <c r="F43">
        <v>154781.27078651701</v>
      </c>
    </row>
    <row r="44" spans="2:6" x14ac:dyDescent="0.2">
      <c r="C44">
        <v>199689.239895698</v>
      </c>
      <c r="D44">
        <v>134174.63888888899</v>
      </c>
      <c r="E44">
        <v>127725.63223684199</v>
      </c>
      <c r="F44">
        <v>127010.385542169</v>
      </c>
    </row>
    <row r="45" spans="2:6" x14ac:dyDescent="0.2">
      <c r="C45">
        <v>218952.09009009</v>
      </c>
      <c r="D45">
        <v>131811.99361022399</v>
      </c>
      <c r="E45">
        <v>157006.731707317</v>
      </c>
      <c r="F45">
        <v>153264.96038034899</v>
      </c>
    </row>
    <row r="46" spans="2:6" x14ac:dyDescent="0.2">
      <c r="C46">
        <v>205505.42946708499</v>
      </c>
      <c r="D46">
        <v>137129.18884120201</v>
      </c>
      <c r="E46">
        <v>167246.76027397299</v>
      </c>
      <c r="F46">
        <v>202433.14507771999</v>
      </c>
    </row>
    <row r="47" spans="2:6" x14ac:dyDescent="0.2">
      <c r="C47">
        <v>165900.242878561</v>
      </c>
      <c r="E47">
        <v>216551.52824427499</v>
      </c>
      <c r="F47">
        <v>148665.35974842799</v>
      </c>
    </row>
    <row r="48" spans="2:6" x14ac:dyDescent="0.2">
      <c r="C48" s="19">
        <f>AVERAGE(C37:C47)</f>
        <v>192617.56000871086</v>
      </c>
      <c r="D48" s="19">
        <f t="shared" ref="D48:F48" si="2">AVERAGE(D37:D47)</f>
        <v>162048.64825722386</v>
      </c>
      <c r="E48" s="19">
        <f t="shared" si="2"/>
        <v>166878.75260202234</v>
      </c>
      <c r="F48" s="19">
        <f t="shared" si="2"/>
        <v>153230.2581478775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F7E1-EE07-3E4D-AA56-276BE02FC66C}">
  <dimension ref="A2:P245"/>
  <sheetViews>
    <sheetView workbookViewId="0">
      <selection activeCell="N129" sqref="N129:N132"/>
    </sheetView>
  </sheetViews>
  <sheetFormatPr baseColWidth="10" defaultRowHeight="16" x14ac:dyDescent="0.2"/>
  <sheetData>
    <row r="2" spans="1:14" x14ac:dyDescent="0.2">
      <c r="B2" s="18" t="s">
        <v>0</v>
      </c>
      <c r="C2" s="18"/>
      <c r="D2" s="18"/>
      <c r="E2" s="18"/>
      <c r="F2" s="18" t="s">
        <v>1</v>
      </c>
      <c r="G2" s="18"/>
      <c r="H2" s="18"/>
      <c r="I2" s="18"/>
    </row>
    <row r="3" spans="1:14" x14ac:dyDescent="0.2">
      <c r="A3" s="13" t="s">
        <v>161</v>
      </c>
      <c r="B3" s="12">
        <v>1.4548999999999999E-2</v>
      </c>
      <c r="C3" s="12">
        <v>1.6313999999999999E-2</v>
      </c>
      <c r="D3" s="12">
        <v>1.8373E-2</v>
      </c>
      <c r="E3" s="12">
        <v>1.4668E-2</v>
      </c>
      <c r="F3" s="12">
        <v>7.4700000000000001E-3</v>
      </c>
      <c r="G3" s="12">
        <v>1.125E-2</v>
      </c>
      <c r="H3" s="12">
        <v>1.4E-2</v>
      </c>
      <c r="I3" s="12">
        <v>1.001E-2</v>
      </c>
    </row>
    <row r="4" spans="1:14" x14ac:dyDescent="0.2">
      <c r="A4" s="13" t="s">
        <v>6</v>
      </c>
      <c r="B4" s="12">
        <v>1.2425E-2</v>
      </c>
      <c r="C4" s="12">
        <v>9.7549999999999998E-3</v>
      </c>
      <c r="D4" s="12">
        <v>1.8851E-2</v>
      </c>
      <c r="E4" s="12">
        <v>1.3896E-2</v>
      </c>
      <c r="F4" s="12">
        <v>8.7030000000000007E-3</v>
      </c>
      <c r="G4" s="12">
        <v>1.0000999999999999E-2</v>
      </c>
      <c r="H4" s="12">
        <v>1.6086E-2</v>
      </c>
      <c r="I4" s="12">
        <v>1.0503E-2</v>
      </c>
    </row>
    <row r="14" spans="1:14" x14ac:dyDescent="0.2">
      <c r="B14" t="s">
        <v>160</v>
      </c>
    </row>
    <row r="16" spans="1:14" x14ac:dyDescent="0.2">
      <c r="B16" t="s">
        <v>161</v>
      </c>
      <c r="C16" t="s">
        <v>90</v>
      </c>
      <c r="D16">
        <v>1.2250679529880173E-2</v>
      </c>
      <c r="E16">
        <v>0</v>
      </c>
      <c r="F16">
        <v>4.1976508700640614E-3</v>
      </c>
      <c r="G16">
        <v>2.3631885752759617E-2</v>
      </c>
      <c r="H16">
        <v>1.3693889432102009E-2</v>
      </c>
      <c r="I16">
        <v>1.9033340158909971E-2</v>
      </c>
      <c r="J16">
        <v>2.7618973964036096E-2</v>
      </c>
      <c r="K16">
        <v>1.2114886350640251E-2</v>
      </c>
      <c r="L16">
        <v>1.1791570308159178E-2</v>
      </c>
      <c r="M16">
        <v>2.115777977592638E-2</v>
      </c>
      <c r="N16" s="19">
        <v>1.4549065614247774E-2</v>
      </c>
    </row>
    <row r="17" spans="2:15" x14ac:dyDescent="0.2">
      <c r="B17" t="s">
        <v>6</v>
      </c>
      <c r="C17" t="s">
        <v>90</v>
      </c>
      <c r="D17">
        <v>2.248777512716793E-3</v>
      </c>
      <c r="E17">
        <v>1.8509206726791145E-2</v>
      </c>
      <c r="F17">
        <v>1.3521924010074427E-2</v>
      </c>
      <c r="G17">
        <v>1.1492925659387483E-2</v>
      </c>
      <c r="H17">
        <v>4.275447168351299E-3</v>
      </c>
      <c r="I17">
        <v>1.4007985597057678E-2</v>
      </c>
      <c r="J17">
        <v>1.7556228616497305E-2</v>
      </c>
      <c r="K17">
        <v>1.4973655006644892E-2</v>
      </c>
      <c r="L17">
        <v>1.5240682390970248E-2</v>
      </c>
      <c r="N17" s="19">
        <v>1.2425203632054587E-2</v>
      </c>
    </row>
    <row r="18" spans="2:15" x14ac:dyDescent="0.2">
      <c r="B18" t="s">
        <v>161</v>
      </c>
      <c r="C18" t="s">
        <v>162</v>
      </c>
      <c r="D18">
        <v>0</v>
      </c>
      <c r="E18">
        <v>8.9140790208827245E-3</v>
      </c>
      <c r="F18">
        <v>1.2398687938890977E-2</v>
      </c>
      <c r="G18">
        <v>9.8477385397119609E-3</v>
      </c>
      <c r="H18">
        <v>0</v>
      </c>
      <c r="I18">
        <v>8.2156978437212865E-3</v>
      </c>
      <c r="J18">
        <v>1.3076407621409774E-2</v>
      </c>
      <c r="K18">
        <v>1.0283114539712488E-2</v>
      </c>
      <c r="L18">
        <v>4.4924595557992867E-3</v>
      </c>
      <c r="N18" s="19">
        <v>7.4697983400142769E-3</v>
      </c>
    </row>
    <row r="19" spans="2:15" x14ac:dyDescent="0.2">
      <c r="B19" t="s">
        <v>6</v>
      </c>
      <c r="C19" t="s">
        <v>162</v>
      </c>
      <c r="D19">
        <v>2.6475028871611448E-3</v>
      </c>
      <c r="E19">
        <v>3.0786349301820865E-3</v>
      </c>
      <c r="F19">
        <v>2.058218321302667E-2</v>
      </c>
      <c r="G19">
        <v>1.6645596403301627E-2</v>
      </c>
      <c r="H19">
        <v>2.5070984260080573E-2</v>
      </c>
      <c r="I19">
        <v>1.6008989554962246E-3</v>
      </c>
      <c r="J19">
        <v>0</v>
      </c>
      <c r="K19">
        <v>0</v>
      </c>
      <c r="N19" s="19">
        <v>8.7032250811560404E-3</v>
      </c>
    </row>
    <row r="22" spans="2:15" x14ac:dyDescent="0.2">
      <c r="B22" t="s">
        <v>163</v>
      </c>
      <c r="C22" t="s">
        <v>164</v>
      </c>
      <c r="D22" t="s">
        <v>165</v>
      </c>
      <c r="E22" t="s">
        <v>166</v>
      </c>
      <c r="F22" t="s">
        <v>167</v>
      </c>
      <c r="G22" t="s">
        <v>168</v>
      </c>
      <c r="H22" t="s">
        <v>169</v>
      </c>
      <c r="I22" t="s">
        <v>170</v>
      </c>
      <c r="J22" t="s">
        <v>171</v>
      </c>
      <c r="K22" t="s">
        <v>172</v>
      </c>
      <c r="L22" t="s">
        <v>173</v>
      </c>
      <c r="M22" t="s">
        <v>174</v>
      </c>
      <c r="N22" t="s">
        <v>175</v>
      </c>
      <c r="O22" t="s">
        <v>176</v>
      </c>
    </row>
    <row r="23" spans="2:15" x14ac:dyDescent="0.2">
      <c r="B23" t="s">
        <v>161</v>
      </c>
      <c r="C23" t="s">
        <v>177</v>
      </c>
      <c r="D23">
        <v>1</v>
      </c>
      <c r="E23" t="s">
        <v>178</v>
      </c>
      <c r="F23" t="s">
        <v>179</v>
      </c>
      <c r="G23" t="s">
        <v>177</v>
      </c>
      <c r="H23" t="s">
        <v>180</v>
      </c>
      <c r="I23">
        <v>1</v>
      </c>
      <c r="J23">
        <v>44557.56640625</v>
      </c>
      <c r="K23">
        <v>875.13018798828102</v>
      </c>
      <c r="L23">
        <v>184</v>
      </c>
      <c r="M23">
        <v>149</v>
      </c>
      <c r="N23">
        <v>3483.01937231281</v>
      </c>
      <c r="O23">
        <f>M23/J23</f>
        <v>3.3439887322728665E-3</v>
      </c>
    </row>
    <row r="24" spans="2:15" x14ac:dyDescent="0.2">
      <c r="B24" t="s">
        <v>161</v>
      </c>
      <c r="C24" t="s">
        <v>162</v>
      </c>
      <c r="D24">
        <v>1</v>
      </c>
      <c r="E24" t="s">
        <v>178</v>
      </c>
      <c r="F24" t="s">
        <v>179</v>
      </c>
      <c r="G24" t="s">
        <v>177</v>
      </c>
      <c r="H24" t="s">
        <v>180</v>
      </c>
      <c r="I24">
        <v>1</v>
      </c>
      <c r="J24">
        <v>44293.98046875</v>
      </c>
      <c r="K24">
        <v>8.3934068679809605E-3</v>
      </c>
      <c r="L24">
        <v>0</v>
      </c>
      <c r="M24">
        <v>0</v>
      </c>
      <c r="O24">
        <f t="shared" ref="O24:O59" si="0">M24/J24</f>
        <v>0</v>
      </c>
    </row>
    <row r="25" spans="2:15" x14ac:dyDescent="0.2">
      <c r="B25" t="s">
        <v>6</v>
      </c>
      <c r="C25" t="s">
        <v>162</v>
      </c>
      <c r="D25">
        <v>1</v>
      </c>
      <c r="E25" t="s">
        <v>178</v>
      </c>
      <c r="F25" t="s">
        <v>179</v>
      </c>
      <c r="G25" t="s">
        <v>177</v>
      </c>
      <c r="H25" t="s">
        <v>180</v>
      </c>
      <c r="I25">
        <v>1</v>
      </c>
      <c r="J25">
        <v>44570.30078125</v>
      </c>
      <c r="K25">
        <v>690.970458984375</v>
      </c>
      <c r="L25">
        <v>65</v>
      </c>
      <c r="M25">
        <v>118</v>
      </c>
      <c r="N25">
        <v>1352.718927933</v>
      </c>
      <c r="O25">
        <f t="shared" si="0"/>
        <v>2.6475028871611448E-3</v>
      </c>
    </row>
    <row r="26" spans="2:15" x14ac:dyDescent="0.2">
      <c r="B26" t="s">
        <v>161</v>
      </c>
      <c r="C26" t="s">
        <v>90</v>
      </c>
      <c r="D26">
        <v>1</v>
      </c>
      <c r="E26" t="s">
        <v>178</v>
      </c>
      <c r="F26" t="s">
        <v>179</v>
      </c>
      <c r="G26" t="s">
        <v>177</v>
      </c>
      <c r="H26" t="s">
        <v>180</v>
      </c>
      <c r="I26">
        <v>1</v>
      </c>
      <c r="J26">
        <v>43671.046875</v>
      </c>
      <c r="K26">
        <v>1519.10595703125</v>
      </c>
      <c r="L26">
        <v>271</v>
      </c>
      <c r="M26">
        <v>535</v>
      </c>
      <c r="N26">
        <v>6590.0579840829396</v>
      </c>
      <c r="O26">
        <f t="shared" si="0"/>
        <v>1.2250679529880173E-2</v>
      </c>
    </row>
    <row r="27" spans="2:15" x14ac:dyDescent="0.2">
      <c r="B27" t="s">
        <v>6</v>
      </c>
      <c r="C27" t="s">
        <v>90</v>
      </c>
      <c r="D27">
        <v>1</v>
      </c>
      <c r="E27" t="s">
        <v>178</v>
      </c>
      <c r="F27" t="s">
        <v>179</v>
      </c>
      <c r="G27" t="s">
        <v>177</v>
      </c>
      <c r="H27" t="s">
        <v>180</v>
      </c>
      <c r="I27">
        <v>1</v>
      </c>
      <c r="J27">
        <v>44468.60546875</v>
      </c>
      <c r="K27">
        <v>1464.71667480469</v>
      </c>
      <c r="L27">
        <v>194</v>
      </c>
      <c r="M27">
        <v>100</v>
      </c>
      <c r="N27">
        <v>5485.6481787109396</v>
      </c>
      <c r="O27">
        <f t="shared" si="0"/>
        <v>2.248777512716793E-3</v>
      </c>
    </row>
    <row r="28" spans="2:15" x14ac:dyDescent="0.2">
      <c r="B28" t="s">
        <v>161</v>
      </c>
      <c r="C28" t="s">
        <v>162</v>
      </c>
      <c r="D28">
        <v>2</v>
      </c>
      <c r="E28" t="s">
        <v>178</v>
      </c>
      <c r="F28" t="s">
        <v>179</v>
      </c>
      <c r="G28" t="s">
        <v>177</v>
      </c>
      <c r="H28" t="s">
        <v>180</v>
      </c>
      <c r="I28">
        <v>2</v>
      </c>
      <c r="J28">
        <v>44536.2890625</v>
      </c>
      <c r="K28">
        <v>1285.64331054688</v>
      </c>
      <c r="L28">
        <v>151</v>
      </c>
      <c r="M28">
        <v>397</v>
      </c>
      <c r="N28">
        <v>5252.7231113232101</v>
      </c>
      <c r="O28">
        <f t="shared" si="0"/>
        <v>8.9140790208827245E-3</v>
      </c>
    </row>
    <row r="29" spans="2:15" x14ac:dyDescent="0.2">
      <c r="B29" t="s">
        <v>6</v>
      </c>
      <c r="C29" t="s">
        <v>162</v>
      </c>
      <c r="D29">
        <v>2</v>
      </c>
      <c r="E29" t="s">
        <v>178</v>
      </c>
      <c r="F29" t="s">
        <v>179</v>
      </c>
      <c r="G29" t="s">
        <v>177</v>
      </c>
      <c r="H29" t="s">
        <v>180</v>
      </c>
      <c r="I29">
        <v>2</v>
      </c>
      <c r="J29">
        <v>44500.2421875</v>
      </c>
      <c r="K29">
        <v>1750.85632324219</v>
      </c>
      <c r="L29">
        <v>99</v>
      </c>
      <c r="M29">
        <v>137</v>
      </c>
      <c r="N29">
        <v>1208.6243459882501</v>
      </c>
      <c r="O29">
        <f t="shared" si="0"/>
        <v>3.0786349301820865E-3</v>
      </c>
    </row>
    <row r="30" spans="2:15" x14ac:dyDescent="0.2">
      <c r="B30" t="s">
        <v>161</v>
      </c>
      <c r="C30" t="s">
        <v>90</v>
      </c>
      <c r="D30">
        <v>2</v>
      </c>
      <c r="E30" t="s">
        <v>178</v>
      </c>
      <c r="F30" t="s">
        <v>179</v>
      </c>
      <c r="G30" t="s">
        <v>177</v>
      </c>
      <c r="H30" t="s">
        <v>180</v>
      </c>
      <c r="I30">
        <v>2</v>
      </c>
      <c r="J30">
        <v>44353.3828125</v>
      </c>
      <c r="K30">
        <v>8.3934068679809605E-3</v>
      </c>
      <c r="L30">
        <v>0</v>
      </c>
      <c r="M30">
        <v>0</v>
      </c>
      <c r="O30">
        <f t="shared" si="0"/>
        <v>0</v>
      </c>
    </row>
    <row r="31" spans="2:15" x14ac:dyDescent="0.2">
      <c r="B31" t="s">
        <v>6</v>
      </c>
      <c r="C31" t="s">
        <v>90</v>
      </c>
      <c r="D31">
        <v>2</v>
      </c>
      <c r="E31" t="s">
        <v>178</v>
      </c>
      <c r="F31" t="s">
        <v>179</v>
      </c>
      <c r="G31" t="s">
        <v>177</v>
      </c>
      <c r="H31" t="s">
        <v>180</v>
      </c>
      <c r="I31">
        <v>2</v>
      </c>
      <c r="J31">
        <v>44140.1953125</v>
      </c>
      <c r="K31">
        <v>2581.140625</v>
      </c>
      <c r="L31">
        <v>445</v>
      </c>
      <c r="M31">
        <v>817</v>
      </c>
      <c r="N31">
        <v>4760.0460693658197</v>
      </c>
      <c r="O31">
        <f t="shared" si="0"/>
        <v>1.8509206726791145E-2</v>
      </c>
    </row>
    <row r="32" spans="2:15" x14ac:dyDescent="0.2">
      <c r="B32" t="s">
        <v>161</v>
      </c>
      <c r="C32" t="s">
        <v>162</v>
      </c>
      <c r="D32">
        <v>3</v>
      </c>
      <c r="E32" t="s">
        <v>178</v>
      </c>
      <c r="F32" t="s">
        <v>179</v>
      </c>
      <c r="G32" t="s">
        <v>177</v>
      </c>
      <c r="H32" t="s">
        <v>180</v>
      </c>
      <c r="I32">
        <v>3</v>
      </c>
      <c r="J32">
        <v>44520.83984375</v>
      </c>
      <c r="K32">
        <v>1913.71362304688</v>
      </c>
      <c r="L32">
        <v>367</v>
      </c>
      <c r="M32">
        <v>552</v>
      </c>
      <c r="N32">
        <v>4806.0728808416798</v>
      </c>
      <c r="O32">
        <f t="shared" si="0"/>
        <v>1.2398687938890977E-2</v>
      </c>
    </row>
    <row r="33" spans="2:15" x14ac:dyDescent="0.2">
      <c r="B33" t="s">
        <v>6</v>
      </c>
      <c r="C33" t="s">
        <v>162</v>
      </c>
      <c r="D33">
        <v>3</v>
      </c>
      <c r="E33" t="s">
        <v>178</v>
      </c>
      <c r="F33" t="s">
        <v>179</v>
      </c>
      <c r="G33" t="s">
        <v>177</v>
      </c>
      <c r="H33" t="s">
        <v>180</v>
      </c>
      <c r="I33">
        <v>3</v>
      </c>
      <c r="J33">
        <v>44358.75390625</v>
      </c>
      <c r="K33">
        <v>2357.95141601562</v>
      </c>
      <c r="L33">
        <v>380</v>
      </c>
      <c r="M33">
        <v>913</v>
      </c>
      <c r="N33">
        <v>1085.96779843985</v>
      </c>
      <c r="O33">
        <f t="shared" si="0"/>
        <v>2.058218321302667E-2</v>
      </c>
    </row>
    <row r="34" spans="2:15" x14ac:dyDescent="0.2">
      <c r="B34" t="s">
        <v>161</v>
      </c>
      <c r="C34" t="s">
        <v>90</v>
      </c>
      <c r="D34">
        <v>3</v>
      </c>
      <c r="E34" t="s">
        <v>178</v>
      </c>
      <c r="F34" t="s">
        <v>179</v>
      </c>
      <c r="G34" t="s">
        <v>177</v>
      </c>
      <c r="H34" t="s">
        <v>180</v>
      </c>
      <c r="I34">
        <v>3</v>
      </c>
      <c r="J34">
        <v>43119.35546875</v>
      </c>
      <c r="K34">
        <v>1163.89697265625</v>
      </c>
      <c r="L34">
        <v>155</v>
      </c>
      <c r="M34">
        <v>181</v>
      </c>
      <c r="N34">
        <v>6628.9886184608104</v>
      </c>
      <c r="O34">
        <f t="shared" si="0"/>
        <v>4.1976508700640614E-3</v>
      </c>
    </row>
    <row r="35" spans="2:15" x14ac:dyDescent="0.2">
      <c r="B35" t="s">
        <v>6</v>
      </c>
      <c r="C35" t="s">
        <v>90</v>
      </c>
      <c r="D35">
        <v>3</v>
      </c>
      <c r="E35" t="s">
        <v>178</v>
      </c>
      <c r="F35" t="s">
        <v>179</v>
      </c>
      <c r="G35" t="s">
        <v>177</v>
      </c>
      <c r="H35" t="s">
        <v>180</v>
      </c>
      <c r="I35">
        <v>3</v>
      </c>
      <c r="J35">
        <v>44298.4296875</v>
      </c>
      <c r="K35">
        <v>2192.11450195312</v>
      </c>
      <c r="L35">
        <v>150</v>
      </c>
      <c r="M35">
        <v>599</v>
      </c>
      <c r="N35">
        <v>5033.9312786936598</v>
      </c>
      <c r="O35">
        <f t="shared" si="0"/>
        <v>1.3521924010074427E-2</v>
      </c>
    </row>
    <row r="36" spans="2:15" x14ac:dyDescent="0.2">
      <c r="B36" t="s">
        <v>161</v>
      </c>
      <c r="C36" t="s">
        <v>162</v>
      </c>
      <c r="D36">
        <v>4</v>
      </c>
      <c r="E36" t="s">
        <v>178</v>
      </c>
      <c r="F36" t="s">
        <v>179</v>
      </c>
      <c r="G36" t="s">
        <v>177</v>
      </c>
      <c r="H36" t="s">
        <v>180</v>
      </c>
      <c r="I36">
        <v>4</v>
      </c>
      <c r="J36">
        <v>44172.578125</v>
      </c>
      <c r="K36">
        <v>1384.84497070312</v>
      </c>
      <c r="L36">
        <v>136</v>
      </c>
      <c r="M36">
        <v>435</v>
      </c>
      <c r="N36">
        <v>3718.7952563757199</v>
      </c>
      <c r="O36">
        <f t="shared" si="0"/>
        <v>9.8477385397119609E-3</v>
      </c>
    </row>
    <row r="37" spans="2:15" x14ac:dyDescent="0.2">
      <c r="B37" t="s">
        <v>6</v>
      </c>
      <c r="C37" t="s">
        <v>162</v>
      </c>
      <c r="D37">
        <v>4</v>
      </c>
      <c r="E37" t="s">
        <v>178</v>
      </c>
      <c r="F37" t="s">
        <v>179</v>
      </c>
      <c r="G37" t="s">
        <v>177</v>
      </c>
      <c r="H37" t="s">
        <v>180</v>
      </c>
      <c r="I37">
        <v>4</v>
      </c>
      <c r="J37">
        <v>44215.8984375</v>
      </c>
      <c r="K37">
        <v>2580.11645507812</v>
      </c>
      <c r="L37">
        <v>141</v>
      </c>
      <c r="M37">
        <v>736</v>
      </c>
      <c r="N37">
        <v>3201.2431942483699</v>
      </c>
      <c r="O37">
        <f t="shared" si="0"/>
        <v>1.6645596403301627E-2</v>
      </c>
    </row>
    <row r="38" spans="2:15" x14ac:dyDescent="0.2">
      <c r="B38" t="s">
        <v>161</v>
      </c>
      <c r="C38" t="s">
        <v>90</v>
      </c>
      <c r="D38">
        <v>4</v>
      </c>
      <c r="E38" t="s">
        <v>178</v>
      </c>
      <c r="F38" t="s">
        <v>179</v>
      </c>
      <c r="G38" t="s">
        <v>177</v>
      </c>
      <c r="H38" t="s">
        <v>180</v>
      </c>
      <c r="I38">
        <v>4</v>
      </c>
      <c r="J38">
        <v>44092.96875</v>
      </c>
      <c r="K38">
        <v>3619.10278320312</v>
      </c>
      <c r="L38">
        <v>361</v>
      </c>
      <c r="M38">
        <v>1042</v>
      </c>
      <c r="N38">
        <v>5556.3540603725596</v>
      </c>
      <c r="O38">
        <f t="shared" si="0"/>
        <v>2.3631885752759617E-2</v>
      </c>
    </row>
    <row r="39" spans="2:15" x14ac:dyDescent="0.2">
      <c r="B39" t="s">
        <v>6</v>
      </c>
      <c r="C39" t="s">
        <v>90</v>
      </c>
      <c r="D39">
        <v>4</v>
      </c>
      <c r="E39" t="s">
        <v>178</v>
      </c>
      <c r="F39" t="s">
        <v>179</v>
      </c>
      <c r="G39" t="s">
        <v>177</v>
      </c>
      <c r="H39" t="s">
        <v>180</v>
      </c>
      <c r="I39">
        <v>4</v>
      </c>
      <c r="J39">
        <v>44114.09375</v>
      </c>
      <c r="K39">
        <v>3259.1767578125</v>
      </c>
      <c r="L39">
        <v>300</v>
      </c>
      <c r="M39">
        <v>507</v>
      </c>
      <c r="N39">
        <v>5124.4448776696599</v>
      </c>
      <c r="O39">
        <f t="shared" si="0"/>
        <v>1.1492925659387483E-2</v>
      </c>
    </row>
    <row r="40" spans="2:15" x14ac:dyDescent="0.2">
      <c r="B40" t="s">
        <v>161</v>
      </c>
      <c r="C40" t="s">
        <v>162</v>
      </c>
      <c r="D40">
        <v>5</v>
      </c>
      <c r="E40" t="s">
        <v>178</v>
      </c>
      <c r="F40" t="s">
        <v>179</v>
      </c>
      <c r="G40" t="s">
        <v>177</v>
      </c>
      <c r="H40" t="s">
        <v>180</v>
      </c>
      <c r="I40">
        <v>5</v>
      </c>
      <c r="J40">
        <v>44362.078125</v>
      </c>
      <c r="K40">
        <v>8.3934068679809605E-3</v>
      </c>
      <c r="L40">
        <v>0</v>
      </c>
      <c r="M40">
        <v>0</v>
      </c>
      <c r="O40">
        <f t="shared" si="0"/>
        <v>0</v>
      </c>
    </row>
    <row r="41" spans="2:15" x14ac:dyDescent="0.2">
      <c r="B41" t="s">
        <v>6</v>
      </c>
      <c r="C41" t="s">
        <v>162</v>
      </c>
      <c r="D41">
        <v>5</v>
      </c>
      <c r="E41" t="s">
        <v>178</v>
      </c>
      <c r="F41" t="s">
        <v>179</v>
      </c>
      <c r="G41" t="s">
        <v>177</v>
      </c>
      <c r="H41" t="s">
        <v>180</v>
      </c>
      <c r="I41">
        <v>5</v>
      </c>
      <c r="J41">
        <v>44513.609375</v>
      </c>
      <c r="K41">
        <v>3712.46264648438</v>
      </c>
      <c r="L41">
        <v>519</v>
      </c>
      <c r="M41">
        <v>1116</v>
      </c>
      <c r="N41">
        <v>1540.5056248599899</v>
      </c>
      <c r="O41">
        <f t="shared" si="0"/>
        <v>2.5070984260080573E-2</v>
      </c>
    </row>
    <row r="42" spans="2:15" x14ac:dyDescent="0.2">
      <c r="B42" t="s">
        <v>161</v>
      </c>
      <c r="C42" t="s">
        <v>90</v>
      </c>
      <c r="D42">
        <v>5</v>
      </c>
      <c r="E42" t="s">
        <v>178</v>
      </c>
      <c r="F42" t="s">
        <v>179</v>
      </c>
      <c r="G42" t="s">
        <v>177</v>
      </c>
      <c r="H42" t="s">
        <v>180</v>
      </c>
      <c r="I42">
        <v>5</v>
      </c>
      <c r="J42">
        <v>44472.390625</v>
      </c>
      <c r="K42">
        <v>2323.857421875</v>
      </c>
      <c r="L42">
        <v>336</v>
      </c>
      <c r="M42">
        <v>609</v>
      </c>
      <c r="N42">
        <v>5928.3154320928297</v>
      </c>
      <c r="O42">
        <f t="shared" si="0"/>
        <v>1.3693889432102009E-2</v>
      </c>
    </row>
    <row r="43" spans="2:15" x14ac:dyDescent="0.2">
      <c r="B43" t="s">
        <v>6</v>
      </c>
      <c r="C43" t="s">
        <v>90</v>
      </c>
      <c r="D43">
        <v>5</v>
      </c>
      <c r="E43" t="s">
        <v>178</v>
      </c>
      <c r="F43" t="s">
        <v>179</v>
      </c>
      <c r="G43" t="s">
        <v>177</v>
      </c>
      <c r="H43" t="s">
        <v>180</v>
      </c>
      <c r="I43">
        <v>5</v>
      </c>
      <c r="J43">
        <v>44205.90234375</v>
      </c>
      <c r="K43">
        <v>1585.28796386719</v>
      </c>
      <c r="L43">
        <v>207</v>
      </c>
      <c r="M43">
        <v>189</v>
      </c>
      <c r="N43">
        <v>4865.5899470899503</v>
      </c>
      <c r="O43">
        <f t="shared" si="0"/>
        <v>4.275447168351299E-3</v>
      </c>
    </row>
    <row r="44" spans="2:15" x14ac:dyDescent="0.2">
      <c r="B44" t="s">
        <v>161</v>
      </c>
      <c r="C44" t="s">
        <v>162</v>
      </c>
      <c r="D44">
        <v>6</v>
      </c>
      <c r="E44" t="s">
        <v>178</v>
      </c>
      <c r="F44" t="s">
        <v>179</v>
      </c>
      <c r="G44" t="s">
        <v>177</v>
      </c>
      <c r="H44" t="s">
        <v>180</v>
      </c>
      <c r="I44">
        <v>6</v>
      </c>
      <c r="J44">
        <v>44548.86328125</v>
      </c>
      <c r="K44">
        <v>1385.927734375</v>
      </c>
      <c r="L44">
        <v>109</v>
      </c>
      <c r="M44">
        <v>366</v>
      </c>
      <c r="N44">
        <v>3289.0416900134501</v>
      </c>
      <c r="O44">
        <f t="shared" si="0"/>
        <v>8.2156978437212865E-3</v>
      </c>
    </row>
    <row r="45" spans="2:15" x14ac:dyDescent="0.2">
      <c r="B45" t="s">
        <v>6</v>
      </c>
      <c r="C45" t="s">
        <v>162</v>
      </c>
      <c r="D45">
        <v>6</v>
      </c>
      <c r="E45" t="s">
        <v>178</v>
      </c>
      <c r="F45" t="s">
        <v>179</v>
      </c>
      <c r="G45" t="s">
        <v>177</v>
      </c>
      <c r="H45" t="s">
        <v>180</v>
      </c>
      <c r="I45">
        <v>6</v>
      </c>
      <c r="J45">
        <v>44350.08203125</v>
      </c>
      <c r="K45">
        <v>1592.29650878906</v>
      </c>
      <c r="L45">
        <v>84</v>
      </c>
      <c r="M45">
        <v>71</v>
      </c>
      <c r="N45">
        <v>3229.1641966054099</v>
      </c>
      <c r="O45">
        <f t="shared" si="0"/>
        <v>1.6008989554962246E-3</v>
      </c>
    </row>
    <row r="46" spans="2:15" x14ac:dyDescent="0.2">
      <c r="B46" t="s">
        <v>161</v>
      </c>
      <c r="C46" t="s">
        <v>90</v>
      </c>
      <c r="D46">
        <v>6</v>
      </c>
      <c r="E46" t="s">
        <v>178</v>
      </c>
      <c r="F46" t="s">
        <v>179</v>
      </c>
      <c r="G46" t="s">
        <v>177</v>
      </c>
      <c r="H46" t="s">
        <v>180</v>
      </c>
      <c r="I46">
        <v>6</v>
      </c>
      <c r="J46">
        <v>44448.3203125</v>
      </c>
      <c r="K46">
        <v>2216.37133789062</v>
      </c>
      <c r="L46">
        <v>234</v>
      </c>
      <c r="M46">
        <v>846</v>
      </c>
      <c r="N46">
        <v>5383.4747917590103</v>
      </c>
      <c r="O46">
        <f t="shared" si="0"/>
        <v>1.9033340158909971E-2</v>
      </c>
    </row>
    <row r="47" spans="2:15" x14ac:dyDescent="0.2">
      <c r="B47" t="s">
        <v>6</v>
      </c>
      <c r="C47" t="s">
        <v>90</v>
      </c>
      <c r="D47">
        <v>6</v>
      </c>
      <c r="E47" t="s">
        <v>178</v>
      </c>
      <c r="F47" t="s">
        <v>179</v>
      </c>
      <c r="G47" t="s">
        <v>177</v>
      </c>
      <c r="H47" t="s">
        <v>180</v>
      </c>
      <c r="I47">
        <v>6</v>
      </c>
      <c r="J47">
        <v>44546.01953125</v>
      </c>
      <c r="K47">
        <v>1554.22399902344</v>
      </c>
      <c r="L47">
        <v>215</v>
      </c>
      <c r="M47">
        <v>624</v>
      </c>
      <c r="N47">
        <v>3967.0952344062998</v>
      </c>
      <c r="O47">
        <f t="shared" si="0"/>
        <v>1.4007985597057678E-2</v>
      </c>
    </row>
    <row r="48" spans="2:15" x14ac:dyDescent="0.2">
      <c r="B48" t="s">
        <v>161</v>
      </c>
      <c r="C48" t="s">
        <v>162</v>
      </c>
      <c r="D48">
        <v>7</v>
      </c>
      <c r="E48" t="s">
        <v>178</v>
      </c>
      <c r="F48" t="s">
        <v>179</v>
      </c>
      <c r="G48" t="s">
        <v>177</v>
      </c>
      <c r="H48" t="s">
        <v>180</v>
      </c>
      <c r="I48">
        <v>7</v>
      </c>
      <c r="J48">
        <v>44507.63671875</v>
      </c>
      <c r="K48">
        <v>1728.13537597656</v>
      </c>
      <c r="L48">
        <v>182</v>
      </c>
      <c r="M48">
        <v>582</v>
      </c>
      <c r="N48">
        <v>3141.788129564</v>
      </c>
      <c r="O48">
        <f t="shared" si="0"/>
        <v>1.3076407621409774E-2</v>
      </c>
    </row>
    <row r="49" spans="2:15" x14ac:dyDescent="0.2">
      <c r="B49" t="s">
        <v>6</v>
      </c>
      <c r="C49" t="s">
        <v>162</v>
      </c>
      <c r="D49">
        <v>7</v>
      </c>
      <c r="E49" t="s">
        <v>178</v>
      </c>
      <c r="F49" t="s">
        <v>179</v>
      </c>
      <c r="G49" t="s">
        <v>177</v>
      </c>
      <c r="H49" t="s">
        <v>180</v>
      </c>
      <c r="I49">
        <v>7</v>
      </c>
      <c r="J49">
        <v>44411.3203125</v>
      </c>
      <c r="K49">
        <v>8.3934068679809605E-3</v>
      </c>
      <c r="L49">
        <v>0</v>
      </c>
      <c r="M49">
        <v>0</v>
      </c>
      <c r="O49">
        <f t="shared" si="0"/>
        <v>0</v>
      </c>
    </row>
    <row r="50" spans="2:15" x14ac:dyDescent="0.2">
      <c r="B50" t="s">
        <v>161</v>
      </c>
      <c r="C50" t="s">
        <v>90</v>
      </c>
      <c r="D50">
        <v>7</v>
      </c>
      <c r="E50" t="s">
        <v>178</v>
      </c>
      <c r="F50" t="s">
        <v>179</v>
      </c>
      <c r="G50" t="s">
        <v>177</v>
      </c>
      <c r="H50" t="s">
        <v>180</v>
      </c>
      <c r="I50">
        <v>7</v>
      </c>
      <c r="J50">
        <v>44498.39453125</v>
      </c>
      <c r="K50">
        <v>2800.04052734375</v>
      </c>
      <c r="L50">
        <v>441</v>
      </c>
      <c r="M50">
        <v>1229</v>
      </c>
      <c r="N50">
        <v>4509.2003689324401</v>
      </c>
      <c r="O50">
        <f t="shared" si="0"/>
        <v>2.7618973964036096E-2</v>
      </c>
    </row>
    <row r="51" spans="2:15" x14ac:dyDescent="0.2">
      <c r="B51" t="s">
        <v>6</v>
      </c>
      <c r="C51" t="s">
        <v>90</v>
      </c>
      <c r="D51">
        <v>7</v>
      </c>
      <c r="E51" t="s">
        <v>178</v>
      </c>
      <c r="F51" t="s">
        <v>179</v>
      </c>
      <c r="G51" t="s">
        <v>177</v>
      </c>
      <c r="H51" t="s">
        <v>180</v>
      </c>
      <c r="I51">
        <v>7</v>
      </c>
      <c r="J51">
        <v>44257.796875</v>
      </c>
      <c r="K51">
        <v>2320.9365234375</v>
      </c>
      <c r="L51">
        <v>293</v>
      </c>
      <c r="M51">
        <v>777</v>
      </c>
      <c r="N51">
        <v>5480.6723177208996</v>
      </c>
      <c r="O51">
        <f t="shared" si="0"/>
        <v>1.7556228616497305E-2</v>
      </c>
    </row>
    <row r="52" spans="2:15" x14ac:dyDescent="0.2">
      <c r="B52" t="s">
        <v>161</v>
      </c>
      <c r="C52" t="s">
        <v>162</v>
      </c>
      <c r="D52">
        <v>8</v>
      </c>
      <c r="E52" t="s">
        <v>178</v>
      </c>
      <c r="F52" t="s">
        <v>179</v>
      </c>
      <c r="G52" t="s">
        <v>177</v>
      </c>
      <c r="H52" t="s">
        <v>180</v>
      </c>
      <c r="I52">
        <v>8</v>
      </c>
      <c r="J52">
        <v>44539.03515625</v>
      </c>
      <c r="K52">
        <v>1419.03137207031</v>
      </c>
      <c r="L52">
        <v>212</v>
      </c>
      <c r="M52">
        <v>458</v>
      </c>
      <c r="N52">
        <v>2870.2175218340599</v>
      </c>
      <c r="O52">
        <f t="shared" si="0"/>
        <v>1.0283114539712488E-2</v>
      </c>
    </row>
    <row r="53" spans="2:15" x14ac:dyDescent="0.2">
      <c r="B53" t="s">
        <v>6</v>
      </c>
      <c r="C53" t="s">
        <v>162</v>
      </c>
      <c r="D53">
        <v>8</v>
      </c>
      <c r="E53" t="s">
        <v>178</v>
      </c>
      <c r="F53" t="s">
        <v>179</v>
      </c>
      <c r="G53" t="s">
        <v>177</v>
      </c>
      <c r="H53" t="s">
        <v>180</v>
      </c>
      <c r="I53">
        <v>8</v>
      </c>
      <c r="J53">
        <v>44565.58984375</v>
      </c>
      <c r="K53">
        <v>8.3934068679809605E-3</v>
      </c>
      <c r="L53">
        <v>0</v>
      </c>
      <c r="M53">
        <v>0</v>
      </c>
      <c r="O53">
        <f t="shared" si="0"/>
        <v>0</v>
      </c>
    </row>
    <row r="54" spans="2:15" x14ac:dyDescent="0.2">
      <c r="B54" t="s">
        <v>161</v>
      </c>
      <c r="C54" t="s">
        <v>90</v>
      </c>
      <c r="D54">
        <v>8</v>
      </c>
      <c r="E54" t="s">
        <v>178</v>
      </c>
      <c r="F54" t="s">
        <v>179</v>
      </c>
      <c r="G54" t="s">
        <v>177</v>
      </c>
      <c r="H54" t="s">
        <v>180</v>
      </c>
      <c r="I54">
        <v>8</v>
      </c>
      <c r="J54">
        <v>44573.26171875</v>
      </c>
      <c r="K54">
        <v>1260.54699707031</v>
      </c>
      <c r="L54">
        <v>190</v>
      </c>
      <c r="M54">
        <v>540</v>
      </c>
      <c r="N54">
        <v>3151.4420934606501</v>
      </c>
      <c r="O54">
        <f t="shared" si="0"/>
        <v>1.2114886350640251E-2</v>
      </c>
    </row>
    <row r="55" spans="2:15" x14ac:dyDescent="0.2">
      <c r="B55" t="s">
        <v>6</v>
      </c>
      <c r="C55" t="s">
        <v>90</v>
      </c>
      <c r="D55">
        <v>8</v>
      </c>
      <c r="E55" t="s">
        <v>178</v>
      </c>
      <c r="F55" t="s">
        <v>179</v>
      </c>
      <c r="G55" t="s">
        <v>177</v>
      </c>
      <c r="H55" t="s">
        <v>180</v>
      </c>
      <c r="I55">
        <v>8</v>
      </c>
      <c r="J55">
        <v>44544.90234375</v>
      </c>
      <c r="K55">
        <v>1946.28833007812</v>
      </c>
      <c r="L55">
        <v>245</v>
      </c>
      <c r="M55">
        <v>667</v>
      </c>
      <c r="N55">
        <v>4003.9775562658101</v>
      </c>
      <c r="O55">
        <f t="shared" si="0"/>
        <v>1.4973655006644892E-2</v>
      </c>
    </row>
    <row r="56" spans="2:15" x14ac:dyDescent="0.2">
      <c r="B56" t="s">
        <v>161</v>
      </c>
      <c r="C56" t="s">
        <v>162</v>
      </c>
      <c r="D56">
        <v>9</v>
      </c>
      <c r="E56" t="s">
        <v>178</v>
      </c>
      <c r="F56" t="s">
        <v>179</v>
      </c>
      <c r="G56" t="s">
        <v>177</v>
      </c>
      <c r="H56" t="s">
        <v>180</v>
      </c>
      <c r="I56">
        <v>9</v>
      </c>
      <c r="J56">
        <v>44519.04296875</v>
      </c>
      <c r="K56">
        <v>676.47503662109398</v>
      </c>
      <c r="L56">
        <v>43</v>
      </c>
      <c r="M56">
        <v>200</v>
      </c>
      <c r="N56">
        <v>2938.6199108886699</v>
      </c>
      <c r="O56">
        <f t="shared" si="0"/>
        <v>4.4924595557992867E-3</v>
      </c>
    </row>
    <row r="57" spans="2:15" x14ac:dyDescent="0.2">
      <c r="B57" t="s">
        <v>161</v>
      </c>
      <c r="C57" t="s">
        <v>90</v>
      </c>
      <c r="D57">
        <v>9</v>
      </c>
      <c r="E57" t="s">
        <v>178</v>
      </c>
      <c r="F57" t="s">
        <v>179</v>
      </c>
      <c r="G57" t="s">
        <v>177</v>
      </c>
      <c r="H57" t="s">
        <v>180</v>
      </c>
      <c r="I57">
        <v>9</v>
      </c>
      <c r="J57">
        <v>44523.33203125</v>
      </c>
      <c r="K57">
        <v>1335.64282226562</v>
      </c>
      <c r="L57">
        <v>185</v>
      </c>
      <c r="M57">
        <v>525</v>
      </c>
      <c r="N57">
        <v>2757.3846907552102</v>
      </c>
      <c r="O57">
        <f t="shared" si="0"/>
        <v>1.1791570308159178E-2</v>
      </c>
    </row>
    <row r="58" spans="2:15" x14ac:dyDescent="0.2">
      <c r="B58" t="s">
        <v>6</v>
      </c>
      <c r="C58" t="s">
        <v>90</v>
      </c>
      <c r="D58">
        <v>9</v>
      </c>
      <c r="E58" t="s">
        <v>178</v>
      </c>
      <c r="F58" t="s">
        <v>179</v>
      </c>
      <c r="G58" t="s">
        <v>177</v>
      </c>
      <c r="H58" t="s">
        <v>180</v>
      </c>
      <c r="I58">
        <v>9</v>
      </c>
      <c r="J58">
        <v>44289.35546875</v>
      </c>
      <c r="K58">
        <v>1490.64392089844</v>
      </c>
      <c r="L58">
        <v>151</v>
      </c>
      <c r="M58">
        <v>675</v>
      </c>
      <c r="N58">
        <v>4096.8200784866904</v>
      </c>
      <c r="O58">
        <f t="shared" si="0"/>
        <v>1.5240682390970248E-2</v>
      </c>
    </row>
    <row r="59" spans="2:15" x14ac:dyDescent="0.2">
      <c r="B59" t="s">
        <v>161</v>
      </c>
      <c r="C59" t="s">
        <v>90</v>
      </c>
      <c r="D59">
        <v>10</v>
      </c>
      <c r="E59" t="s">
        <v>178</v>
      </c>
      <c r="F59" t="s">
        <v>179</v>
      </c>
      <c r="G59" t="s">
        <v>177</v>
      </c>
      <c r="H59" t="s">
        <v>180</v>
      </c>
      <c r="I59">
        <v>10</v>
      </c>
      <c r="J59">
        <v>44333.57421875</v>
      </c>
      <c r="K59">
        <v>2568.52514648438</v>
      </c>
      <c r="L59">
        <v>189</v>
      </c>
      <c r="M59">
        <v>938</v>
      </c>
      <c r="N59">
        <v>2498.5561552068102</v>
      </c>
      <c r="O59">
        <f t="shared" si="0"/>
        <v>2.115777977592638E-2</v>
      </c>
    </row>
    <row r="62" spans="2:15" x14ac:dyDescent="0.2">
      <c r="B62" t="s">
        <v>181</v>
      </c>
    </row>
    <row r="63" spans="2:15" x14ac:dyDescent="0.2">
      <c r="B63" t="s">
        <v>161</v>
      </c>
      <c r="C63" t="s">
        <v>90</v>
      </c>
      <c r="D63">
        <v>1.0398477285615626E-2</v>
      </c>
      <c r="E63">
        <v>2.0545979628792146E-2</v>
      </c>
      <c r="F63">
        <v>1.6397484572518595E-2</v>
      </c>
      <c r="G63">
        <v>2.2891260719967638E-2</v>
      </c>
      <c r="H63">
        <v>4.5602548987774567E-3</v>
      </c>
      <c r="I63">
        <v>1.4507175130034791E-2</v>
      </c>
      <c r="J63">
        <v>1.9897678677424764E-2</v>
      </c>
      <c r="K63">
        <v>2.1315837799796743E-2</v>
      </c>
      <c r="N63" s="19">
        <v>1.6314268589115968E-2</v>
      </c>
    </row>
    <row r="64" spans="2:15" x14ac:dyDescent="0.2">
      <c r="B64" t="s">
        <v>6</v>
      </c>
      <c r="C64" t="s">
        <v>90</v>
      </c>
      <c r="D64">
        <v>6.1645209851931004E-3</v>
      </c>
      <c r="E64">
        <v>1.6077248632226482E-2</v>
      </c>
      <c r="F64">
        <v>6.4639686003747504E-3</v>
      </c>
      <c r="G64">
        <v>2.0870351506199397E-2</v>
      </c>
      <c r="H64">
        <v>7.0637290355239982E-3</v>
      </c>
      <c r="I64">
        <v>0</v>
      </c>
      <c r="J64">
        <v>1.05912779875093E-2</v>
      </c>
      <c r="K64">
        <v>1.0808766785677926E-2</v>
      </c>
      <c r="N64" s="19">
        <v>9.7549829415881188E-3</v>
      </c>
    </row>
    <row r="65" spans="2:15" x14ac:dyDescent="0.2">
      <c r="B65" t="s">
        <v>161</v>
      </c>
      <c r="C65" t="s">
        <v>162</v>
      </c>
      <c r="D65">
        <v>1.1520046484398095E-2</v>
      </c>
      <c r="E65">
        <v>9.0335905046177428E-3</v>
      </c>
      <c r="F65">
        <v>6.6012772082098469E-3</v>
      </c>
      <c r="G65">
        <v>8.2165984303259262E-3</v>
      </c>
      <c r="H65">
        <v>1.2970392358576371E-2</v>
      </c>
      <c r="I65">
        <v>6.8427716345030986E-3</v>
      </c>
      <c r="J65">
        <v>1.3164226747347164E-2</v>
      </c>
      <c r="K65">
        <v>1.1993811479645598E-2</v>
      </c>
      <c r="L65">
        <v>1.5005744649476498E-2</v>
      </c>
      <c r="M65">
        <v>1.7147789419864494E-2</v>
      </c>
      <c r="N65" s="19">
        <v>1.1249624891696484E-2</v>
      </c>
    </row>
    <row r="66" spans="2:15" x14ac:dyDescent="0.2">
      <c r="B66" t="s">
        <v>6</v>
      </c>
      <c r="C66" t="s">
        <v>162</v>
      </c>
      <c r="D66">
        <v>7.838799936443111E-3</v>
      </c>
      <c r="E66">
        <v>1.4207138239124353E-2</v>
      </c>
      <c r="F66">
        <v>0</v>
      </c>
      <c r="G66">
        <v>1.7358349819941155E-2</v>
      </c>
      <c r="H66">
        <v>8.8215653854380547E-3</v>
      </c>
      <c r="I66">
        <v>1.3908213898120473E-2</v>
      </c>
      <c r="J66">
        <v>1.1004196051542868E-2</v>
      </c>
      <c r="K66">
        <v>1.6866569117043144E-2</v>
      </c>
      <c r="L66">
        <v>0</v>
      </c>
      <c r="N66" s="19">
        <v>1.0000536938628131E-2</v>
      </c>
    </row>
    <row r="69" spans="2:15" x14ac:dyDescent="0.2">
      <c r="B69" t="s">
        <v>163</v>
      </c>
      <c r="C69" t="s">
        <v>164</v>
      </c>
      <c r="D69" t="s">
        <v>165</v>
      </c>
      <c r="E69" t="s">
        <v>166</v>
      </c>
      <c r="F69" t="s">
        <v>167</v>
      </c>
      <c r="G69" t="s">
        <v>168</v>
      </c>
      <c r="H69" t="s">
        <v>169</v>
      </c>
      <c r="I69" t="s">
        <v>170</v>
      </c>
      <c r="J69" t="s">
        <v>171</v>
      </c>
      <c r="K69" t="s">
        <v>172</v>
      </c>
      <c r="L69" t="s">
        <v>173</v>
      </c>
      <c r="M69" t="s">
        <v>174</v>
      </c>
      <c r="N69" t="s">
        <v>175</v>
      </c>
      <c r="O69" t="s">
        <v>176</v>
      </c>
    </row>
    <row r="70" spans="2:15" x14ac:dyDescent="0.2">
      <c r="B70" t="s">
        <v>161</v>
      </c>
      <c r="C70" t="s">
        <v>177</v>
      </c>
      <c r="D70">
        <v>1</v>
      </c>
      <c r="E70" t="s">
        <v>182</v>
      </c>
      <c r="F70" t="s">
        <v>179</v>
      </c>
      <c r="G70" t="s">
        <v>177</v>
      </c>
      <c r="H70" t="s">
        <v>180</v>
      </c>
      <c r="I70">
        <v>1</v>
      </c>
      <c r="J70">
        <v>44318.875</v>
      </c>
      <c r="K70">
        <v>1638.70361328125</v>
      </c>
      <c r="L70">
        <v>303</v>
      </c>
      <c r="M70">
        <v>747</v>
      </c>
      <c r="N70">
        <v>9492.5148785245092</v>
      </c>
      <c r="O70">
        <f>M70/J70</f>
        <v>1.6855120984005122E-2</v>
      </c>
    </row>
    <row r="71" spans="2:15" x14ac:dyDescent="0.2">
      <c r="B71" t="s">
        <v>6</v>
      </c>
      <c r="C71" t="s">
        <v>177</v>
      </c>
      <c r="D71">
        <v>1</v>
      </c>
      <c r="E71" t="s">
        <v>182</v>
      </c>
      <c r="F71" t="s">
        <v>179</v>
      </c>
      <c r="G71" t="s">
        <v>177</v>
      </c>
      <c r="H71" t="s">
        <v>180</v>
      </c>
      <c r="I71">
        <v>1</v>
      </c>
      <c r="J71">
        <v>44528.6015625</v>
      </c>
      <c r="K71">
        <v>1462.28259277344</v>
      </c>
      <c r="L71">
        <v>144</v>
      </c>
      <c r="M71">
        <v>441</v>
      </c>
      <c r="N71">
        <v>5978.8623877285299</v>
      </c>
      <c r="O71">
        <f t="shared" ref="O71:O124" si="1">M71/J71</f>
        <v>9.9037469070528926E-3</v>
      </c>
    </row>
    <row r="72" spans="2:15" x14ac:dyDescent="0.2">
      <c r="B72" t="s">
        <v>161</v>
      </c>
      <c r="C72" t="s">
        <v>162</v>
      </c>
      <c r="D72">
        <v>1</v>
      </c>
      <c r="E72" t="s">
        <v>182</v>
      </c>
      <c r="F72" t="s">
        <v>179</v>
      </c>
      <c r="G72" t="s">
        <v>177</v>
      </c>
      <c r="H72" t="s">
        <v>180</v>
      </c>
      <c r="I72">
        <v>1</v>
      </c>
      <c r="J72">
        <v>44531.0703125</v>
      </c>
      <c r="K72">
        <v>1377.32446289062</v>
      </c>
      <c r="L72">
        <v>263</v>
      </c>
      <c r="M72">
        <v>513</v>
      </c>
      <c r="N72">
        <v>8021.0216090628001</v>
      </c>
      <c r="O72">
        <f t="shared" si="1"/>
        <v>1.1520046484398095E-2</v>
      </c>
    </row>
    <row r="73" spans="2:15" x14ac:dyDescent="0.2">
      <c r="B73" t="s">
        <v>6</v>
      </c>
      <c r="C73" t="s">
        <v>162</v>
      </c>
      <c r="D73">
        <v>1</v>
      </c>
      <c r="E73" t="s">
        <v>182</v>
      </c>
      <c r="F73" t="s">
        <v>179</v>
      </c>
      <c r="G73" t="s">
        <v>177</v>
      </c>
      <c r="H73" t="s">
        <v>180</v>
      </c>
      <c r="I73">
        <v>1</v>
      </c>
      <c r="J73">
        <v>44522.12109375</v>
      </c>
      <c r="K73">
        <v>1102.41528320312</v>
      </c>
      <c r="L73">
        <v>199</v>
      </c>
      <c r="M73">
        <v>349</v>
      </c>
      <c r="N73">
        <v>8730.9667143288898</v>
      </c>
      <c r="O73">
        <f t="shared" si="1"/>
        <v>7.838799936443111E-3</v>
      </c>
    </row>
    <row r="74" spans="2:15" x14ac:dyDescent="0.2">
      <c r="B74" t="s">
        <v>161</v>
      </c>
      <c r="C74" t="s">
        <v>90</v>
      </c>
      <c r="D74">
        <v>1</v>
      </c>
      <c r="E74" t="s">
        <v>182</v>
      </c>
      <c r="F74" t="s">
        <v>179</v>
      </c>
      <c r="G74" t="s">
        <v>177</v>
      </c>
      <c r="H74" t="s">
        <v>180</v>
      </c>
      <c r="I74">
        <v>1</v>
      </c>
      <c r="J74">
        <v>44525.75</v>
      </c>
      <c r="K74">
        <v>1163.83825683594</v>
      </c>
      <c r="L74">
        <v>144</v>
      </c>
      <c r="M74">
        <v>463</v>
      </c>
      <c r="N74">
        <v>7433.8347943102099</v>
      </c>
      <c r="O74">
        <f t="shared" si="1"/>
        <v>1.0398477285615626E-2</v>
      </c>
    </row>
    <row r="75" spans="2:15" x14ac:dyDescent="0.2">
      <c r="B75" t="s">
        <v>6</v>
      </c>
      <c r="C75" t="s">
        <v>90</v>
      </c>
      <c r="D75">
        <v>1</v>
      </c>
      <c r="E75" t="s">
        <v>182</v>
      </c>
      <c r="F75" t="s">
        <v>179</v>
      </c>
      <c r="G75" t="s">
        <v>177</v>
      </c>
      <c r="H75" t="s">
        <v>180</v>
      </c>
      <c r="I75">
        <v>1</v>
      </c>
      <c r="J75">
        <v>43961.2421875</v>
      </c>
      <c r="K75">
        <v>662.95324707031205</v>
      </c>
      <c r="L75">
        <v>137</v>
      </c>
      <c r="M75">
        <v>271</v>
      </c>
      <c r="N75">
        <v>6884.24876398178</v>
      </c>
      <c r="O75">
        <f t="shared" si="1"/>
        <v>6.1645209851931004E-3</v>
      </c>
    </row>
    <row r="76" spans="2:15" x14ac:dyDescent="0.2">
      <c r="B76" t="s">
        <v>161</v>
      </c>
      <c r="C76" t="s">
        <v>177</v>
      </c>
      <c r="D76">
        <v>2</v>
      </c>
      <c r="E76" t="s">
        <v>182</v>
      </c>
      <c r="F76" t="s">
        <v>179</v>
      </c>
      <c r="G76" t="s">
        <v>177</v>
      </c>
      <c r="H76" t="s">
        <v>180</v>
      </c>
      <c r="I76">
        <v>2</v>
      </c>
      <c r="J76">
        <v>44485.52734375</v>
      </c>
      <c r="K76">
        <v>1634.37255859375</v>
      </c>
      <c r="L76">
        <v>556</v>
      </c>
      <c r="M76">
        <v>688</v>
      </c>
      <c r="N76">
        <v>11171.809429789701</v>
      </c>
      <c r="O76">
        <f t="shared" si="1"/>
        <v>1.5465704040859497E-2</v>
      </c>
    </row>
    <row r="77" spans="2:15" x14ac:dyDescent="0.2">
      <c r="B77" t="s">
        <v>6</v>
      </c>
      <c r="C77" t="s">
        <v>177</v>
      </c>
      <c r="D77">
        <v>2</v>
      </c>
      <c r="E77" t="s">
        <v>182</v>
      </c>
      <c r="F77" t="s">
        <v>179</v>
      </c>
      <c r="G77" t="s">
        <v>177</v>
      </c>
      <c r="H77" t="s">
        <v>180</v>
      </c>
      <c r="I77">
        <v>2</v>
      </c>
      <c r="J77">
        <v>44142.26171875</v>
      </c>
      <c r="K77">
        <v>8.3934068679809605E-3</v>
      </c>
      <c r="L77">
        <v>0</v>
      </c>
      <c r="M77">
        <v>0</v>
      </c>
      <c r="O77">
        <f t="shared" si="1"/>
        <v>0</v>
      </c>
    </row>
    <row r="78" spans="2:15" x14ac:dyDescent="0.2">
      <c r="B78" t="s">
        <v>161</v>
      </c>
      <c r="C78" t="s">
        <v>162</v>
      </c>
      <c r="D78">
        <v>2</v>
      </c>
      <c r="E78" t="s">
        <v>182</v>
      </c>
      <c r="F78" t="s">
        <v>179</v>
      </c>
      <c r="G78" t="s">
        <v>177</v>
      </c>
      <c r="H78" t="s">
        <v>180</v>
      </c>
      <c r="I78">
        <v>2</v>
      </c>
      <c r="J78">
        <v>44500.578125</v>
      </c>
      <c r="K78">
        <v>1236.44958496094</v>
      </c>
      <c r="L78">
        <v>250</v>
      </c>
      <c r="M78">
        <v>402</v>
      </c>
      <c r="N78">
        <v>9401.1821811353402</v>
      </c>
      <c r="O78">
        <f t="shared" si="1"/>
        <v>9.0335905046177428E-3</v>
      </c>
    </row>
    <row r="79" spans="2:15" x14ac:dyDescent="0.2">
      <c r="B79" t="s">
        <v>6</v>
      </c>
      <c r="C79" t="s">
        <v>162</v>
      </c>
      <c r="D79">
        <v>2</v>
      </c>
      <c r="E79" t="s">
        <v>182</v>
      </c>
      <c r="F79" t="s">
        <v>179</v>
      </c>
      <c r="G79" t="s">
        <v>177</v>
      </c>
      <c r="H79" t="s">
        <v>180</v>
      </c>
      <c r="I79">
        <v>2</v>
      </c>
      <c r="J79">
        <v>44414.29296875</v>
      </c>
      <c r="K79">
        <v>1610.99694824219</v>
      </c>
      <c r="L79">
        <v>436</v>
      </c>
      <c r="M79">
        <v>631</v>
      </c>
      <c r="N79">
        <v>8443.4000841917605</v>
      </c>
      <c r="O79">
        <f t="shared" si="1"/>
        <v>1.4207138239124353E-2</v>
      </c>
    </row>
    <row r="80" spans="2:15" x14ac:dyDescent="0.2">
      <c r="B80" t="s">
        <v>161</v>
      </c>
      <c r="C80" t="s">
        <v>90</v>
      </c>
      <c r="D80">
        <v>2</v>
      </c>
      <c r="E80" t="s">
        <v>182</v>
      </c>
      <c r="F80" t="s">
        <v>179</v>
      </c>
      <c r="G80" t="s">
        <v>177</v>
      </c>
      <c r="H80" t="s">
        <v>180</v>
      </c>
      <c r="I80">
        <v>2</v>
      </c>
      <c r="J80">
        <v>44388.24609375</v>
      </c>
      <c r="K80">
        <v>1875.53198242188</v>
      </c>
      <c r="L80">
        <v>644</v>
      </c>
      <c r="M80">
        <v>912</v>
      </c>
      <c r="N80">
        <v>8015.8475887900904</v>
      </c>
      <c r="O80">
        <f t="shared" si="1"/>
        <v>2.0545979628792146E-2</v>
      </c>
    </row>
    <row r="81" spans="2:15" x14ac:dyDescent="0.2">
      <c r="B81" t="s">
        <v>6</v>
      </c>
      <c r="C81" t="s">
        <v>90</v>
      </c>
      <c r="D81">
        <v>2</v>
      </c>
      <c r="E81" t="s">
        <v>182</v>
      </c>
      <c r="F81" t="s">
        <v>179</v>
      </c>
      <c r="G81" t="s">
        <v>177</v>
      </c>
      <c r="H81" t="s">
        <v>180</v>
      </c>
      <c r="I81">
        <v>2</v>
      </c>
      <c r="J81">
        <v>44161.78515625</v>
      </c>
      <c r="K81">
        <v>2178.072265625</v>
      </c>
      <c r="L81">
        <v>354</v>
      </c>
      <c r="M81">
        <v>710</v>
      </c>
      <c r="N81">
        <v>6627.0399372799302</v>
      </c>
      <c r="O81">
        <f t="shared" si="1"/>
        <v>1.6077248632226482E-2</v>
      </c>
    </row>
    <row r="82" spans="2:15" x14ac:dyDescent="0.2">
      <c r="B82" t="s">
        <v>161</v>
      </c>
      <c r="C82" t="s">
        <v>177</v>
      </c>
      <c r="D82">
        <v>3</v>
      </c>
      <c r="E82" t="s">
        <v>182</v>
      </c>
      <c r="F82" t="s">
        <v>179</v>
      </c>
      <c r="G82" t="s">
        <v>177</v>
      </c>
      <c r="H82" t="s">
        <v>180</v>
      </c>
      <c r="I82">
        <v>3</v>
      </c>
      <c r="J82">
        <v>44414.52734375</v>
      </c>
      <c r="K82">
        <v>2976.67993164062</v>
      </c>
      <c r="L82">
        <v>367</v>
      </c>
      <c r="M82">
        <v>1242</v>
      </c>
      <c r="N82">
        <v>9946.6711740294104</v>
      </c>
      <c r="O82">
        <f t="shared" si="1"/>
        <v>2.7963823421724963E-2</v>
      </c>
    </row>
    <row r="83" spans="2:15" x14ac:dyDescent="0.2">
      <c r="B83" t="s">
        <v>6</v>
      </c>
      <c r="C83" t="s">
        <v>177</v>
      </c>
      <c r="D83">
        <v>3</v>
      </c>
      <c r="E83" t="s">
        <v>182</v>
      </c>
      <c r="F83" t="s">
        <v>179</v>
      </c>
      <c r="G83" t="s">
        <v>177</v>
      </c>
      <c r="H83" t="s">
        <v>180</v>
      </c>
      <c r="I83">
        <v>3</v>
      </c>
      <c r="J83">
        <v>44111.32421875</v>
      </c>
      <c r="K83">
        <v>8.3934068679809605E-3</v>
      </c>
      <c r="L83">
        <v>0</v>
      </c>
      <c r="M83">
        <v>0</v>
      </c>
      <c r="O83">
        <f t="shared" si="1"/>
        <v>0</v>
      </c>
    </row>
    <row r="84" spans="2:15" x14ac:dyDescent="0.2">
      <c r="B84" t="s">
        <v>161</v>
      </c>
      <c r="C84" t="s">
        <v>162</v>
      </c>
      <c r="D84">
        <v>3</v>
      </c>
      <c r="E84" t="s">
        <v>182</v>
      </c>
      <c r="F84" t="s">
        <v>179</v>
      </c>
      <c r="G84" t="s">
        <v>177</v>
      </c>
      <c r="H84" t="s">
        <v>180</v>
      </c>
      <c r="I84">
        <v>3</v>
      </c>
      <c r="J84">
        <v>44536.8359375</v>
      </c>
      <c r="K84">
        <v>613.096435546875</v>
      </c>
      <c r="L84">
        <v>170</v>
      </c>
      <c r="M84">
        <v>294</v>
      </c>
      <c r="N84">
        <v>6685.7799479166697</v>
      </c>
      <c r="O84">
        <f t="shared" si="1"/>
        <v>6.6012772082098469E-3</v>
      </c>
    </row>
    <row r="85" spans="2:15" x14ac:dyDescent="0.2">
      <c r="B85" t="s">
        <v>6</v>
      </c>
      <c r="C85" t="s">
        <v>162</v>
      </c>
      <c r="D85">
        <v>3</v>
      </c>
      <c r="E85" t="s">
        <v>182</v>
      </c>
      <c r="F85" t="s">
        <v>179</v>
      </c>
      <c r="G85" t="s">
        <v>177</v>
      </c>
      <c r="H85" t="s">
        <v>180</v>
      </c>
      <c r="I85">
        <v>3</v>
      </c>
      <c r="J85">
        <v>44269.40625</v>
      </c>
      <c r="K85">
        <v>8.3934068679809605E-3</v>
      </c>
      <c r="L85">
        <v>0</v>
      </c>
      <c r="M85">
        <v>0</v>
      </c>
      <c r="O85">
        <f t="shared" si="1"/>
        <v>0</v>
      </c>
    </row>
    <row r="86" spans="2:15" x14ac:dyDescent="0.2">
      <c r="B86" t="s">
        <v>161</v>
      </c>
      <c r="C86" t="s">
        <v>90</v>
      </c>
      <c r="D86">
        <v>3</v>
      </c>
      <c r="E86" t="s">
        <v>182</v>
      </c>
      <c r="F86" t="s">
        <v>179</v>
      </c>
      <c r="G86" t="s">
        <v>177</v>
      </c>
      <c r="H86" t="s">
        <v>180</v>
      </c>
      <c r="I86">
        <v>3</v>
      </c>
      <c r="J86">
        <v>44519.0234375</v>
      </c>
      <c r="K86">
        <v>1524.66235351562</v>
      </c>
      <c r="L86">
        <v>437</v>
      </c>
      <c r="M86">
        <v>730</v>
      </c>
      <c r="N86">
        <v>8252.3788955479395</v>
      </c>
      <c r="O86">
        <f t="shared" si="1"/>
        <v>1.6397484572518595E-2</v>
      </c>
    </row>
    <row r="87" spans="2:15" x14ac:dyDescent="0.2">
      <c r="B87" t="s">
        <v>6</v>
      </c>
      <c r="C87" t="s">
        <v>90</v>
      </c>
      <c r="D87">
        <v>3</v>
      </c>
      <c r="E87" t="s">
        <v>182</v>
      </c>
      <c r="F87" t="s">
        <v>179</v>
      </c>
      <c r="G87" t="s">
        <v>177</v>
      </c>
      <c r="H87" t="s">
        <v>180</v>
      </c>
      <c r="I87">
        <v>3</v>
      </c>
      <c r="J87">
        <v>44554.671875</v>
      </c>
      <c r="K87">
        <v>1400.42321777344</v>
      </c>
      <c r="L87">
        <v>105</v>
      </c>
      <c r="M87">
        <v>288</v>
      </c>
      <c r="N87">
        <v>7014.78173828125</v>
      </c>
      <c r="O87">
        <f t="shared" si="1"/>
        <v>6.4639686003747504E-3</v>
      </c>
    </row>
    <row r="88" spans="2:15" x14ac:dyDescent="0.2">
      <c r="B88" t="s">
        <v>161</v>
      </c>
      <c r="C88" t="s">
        <v>177</v>
      </c>
      <c r="D88">
        <v>4</v>
      </c>
      <c r="E88" t="s">
        <v>182</v>
      </c>
      <c r="F88" t="s">
        <v>179</v>
      </c>
      <c r="G88" t="s">
        <v>177</v>
      </c>
      <c r="H88" t="s">
        <v>180</v>
      </c>
      <c r="I88">
        <v>4</v>
      </c>
      <c r="J88">
        <v>44489.37890625</v>
      </c>
      <c r="K88">
        <v>2554.17260742188</v>
      </c>
      <c r="L88">
        <v>446</v>
      </c>
      <c r="M88">
        <v>789</v>
      </c>
      <c r="N88">
        <v>8587.5347713185201</v>
      </c>
      <c r="O88">
        <f t="shared" si="1"/>
        <v>1.773456989953975E-2</v>
      </c>
    </row>
    <row r="89" spans="2:15" x14ac:dyDescent="0.2">
      <c r="B89" t="s">
        <v>6</v>
      </c>
      <c r="C89" t="s">
        <v>177</v>
      </c>
      <c r="D89">
        <v>4</v>
      </c>
      <c r="E89" t="s">
        <v>182</v>
      </c>
      <c r="F89" t="s">
        <v>179</v>
      </c>
      <c r="G89" t="s">
        <v>177</v>
      </c>
      <c r="H89" t="s">
        <v>180</v>
      </c>
      <c r="I89">
        <v>4</v>
      </c>
      <c r="J89">
        <v>44390.8828125</v>
      </c>
      <c r="K89">
        <v>821.009521484375</v>
      </c>
      <c r="L89">
        <v>238</v>
      </c>
      <c r="M89">
        <v>371</v>
      </c>
      <c r="N89">
        <v>7554.3217760276302</v>
      </c>
      <c r="O89">
        <f t="shared" si="1"/>
        <v>8.3575720169171835E-3</v>
      </c>
    </row>
    <row r="90" spans="2:15" x14ac:dyDescent="0.2">
      <c r="B90" t="s">
        <v>161</v>
      </c>
      <c r="C90" t="s">
        <v>162</v>
      </c>
      <c r="D90">
        <v>4</v>
      </c>
      <c r="E90" t="s">
        <v>182</v>
      </c>
      <c r="F90" t="s">
        <v>179</v>
      </c>
      <c r="G90" t="s">
        <v>177</v>
      </c>
      <c r="H90" t="s">
        <v>180</v>
      </c>
      <c r="I90">
        <v>4</v>
      </c>
      <c r="J90">
        <v>44543.98046875</v>
      </c>
      <c r="K90">
        <v>1041.40356445312</v>
      </c>
      <c r="L90">
        <v>254</v>
      </c>
      <c r="M90">
        <v>366</v>
      </c>
      <c r="N90">
        <v>8057.3893829512499</v>
      </c>
      <c r="O90">
        <f t="shared" si="1"/>
        <v>8.2165984303259262E-3</v>
      </c>
    </row>
    <row r="91" spans="2:15" x14ac:dyDescent="0.2">
      <c r="B91" t="s">
        <v>6</v>
      </c>
      <c r="C91" t="s">
        <v>162</v>
      </c>
      <c r="D91">
        <v>4</v>
      </c>
      <c r="E91" t="s">
        <v>182</v>
      </c>
      <c r="F91" t="s">
        <v>179</v>
      </c>
      <c r="G91" t="s">
        <v>177</v>
      </c>
      <c r="H91" t="s">
        <v>180</v>
      </c>
      <c r="I91">
        <v>4</v>
      </c>
      <c r="J91">
        <v>44531.8828125</v>
      </c>
      <c r="K91">
        <v>2319.400390625</v>
      </c>
      <c r="L91">
        <v>268</v>
      </c>
      <c r="M91">
        <v>773</v>
      </c>
      <c r="N91">
        <v>5985.3400983131896</v>
      </c>
      <c r="O91">
        <f t="shared" si="1"/>
        <v>1.7358349819941155E-2</v>
      </c>
    </row>
    <row r="92" spans="2:15" x14ac:dyDescent="0.2">
      <c r="B92" t="s">
        <v>161</v>
      </c>
      <c r="C92" t="s">
        <v>90</v>
      </c>
      <c r="D92">
        <v>4</v>
      </c>
      <c r="E92" t="s">
        <v>182</v>
      </c>
      <c r="F92" t="s">
        <v>179</v>
      </c>
      <c r="G92" t="s">
        <v>177</v>
      </c>
      <c r="H92" t="s">
        <v>180</v>
      </c>
      <c r="I92">
        <v>4</v>
      </c>
      <c r="J92">
        <v>44514.8046875</v>
      </c>
      <c r="K92">
        <v>2538.87963867188</v>
      </c>
      <c r="L92">
        <v>448</v>
      </c>
      <c r="M92">
        <v>1019</v>
      </c>
      <c r="N92">
        <v>8723.9518106177893</v>
      </c>
      <c r="O92">
        <f t="shared" si="1"/>
        <v>2.2891260719967638E-2</v>
      </c>
    </row>
    <row r="93" spans="2:15" x14ac:dyDescent="0.2">
      <c r="B93" t="s">
        <v>6</v>
      </c>
      <c r="C93" t="s">
        <v>90</v>
      </c>
      <c r="D93">
        <v>4</v>
      </c>
      <c r="E93" t="s">
        <v>182</v>
      </c>
      <c r="F93" t="s">
        <v>179</v>
      </c>
      <c r="G93" t="s">
        <v>177</v>
      </c>
      <c r="H93" t="s">
        <v>180</v>
      </c>
      <c r="I93">
        <v>4</v>
      </c>
      <c r="J93">
        <v>44512.90625</v>
      </c>
      <c r="K93">
        <v>2449.82568359375</v>
      </c>
      <c r="L93">
        <v>476</v>
      </c>
      <c r="M93">
        <v>929</v>
      </c>
      <c r="N93">
        <v>7783.6503785362302</v>
      </c>
      <c r="O93">
        <f t="shared" si="1"/>
        <v>2.0870351506199397E-2</v>
      </c>
    </row>
    <row r="94" spans="2:15" x14ac:dyDescent="0.2">
      <c r="B94" t="s">
        <v>161</v>
      </c>
      <c r="C94" t="s">
        <v>177</v>
      </c>
      <c r="D94">
        <v>5</v>
      </c>
      <c r="E94" t="s">
        <v>182</v>
      </c>
      <c r="F94" t="s">
        <v>179</v>
      </c>
      <c r="G94" t="s">
        <v>177</v>
      </c>
      <c r="H94" t="s">
        <v>180</v>
      </c>
      <c r="I94">
        <v>5</v>
      </c>
      <c r="J94">
        <v>44557.59375</v>
      </c>
      <c r="K94">
        <v>1209.66625976562</v>
      </c>
      <c r="L94">
        <v>333</v>
      </c>
      <c r="M94">
        <v>623</v>
      </c>
      <c r="N94">
        <v>10172.410498752301</v>
      </c>
      <c r="O94">
        <f t="shared" si="1"/>
        <v>1.3981904038523176E-2</v>
      </c>
    </row>
    <row r="95" spans="2:15" x14ac:dyDescent="0.2">
      <c r="B95" t="s">
        <v>6</v>
      </c>
      <c r="C95" t="s">
        <v>177</v>
      </c>
      <c r="D95">
        <v>5</v>
      </c>
      <c r="E95" t="s">
        <v>182</v>
      </c>
      <c r="F95" t="s">
        <v>179</v>
      </c>
      <c r="G95" t="s">
        <v>177</v>
      </c>
      <c r="H95" t="s">
        <v>180</v>
      </c>
      <c r="I95">
        <v>5</v>
      </c>
      <c r="J95">
        <v>44408.55078125</v>
      </c>
      <c r="K95">
        <v>1159.49047851562</v>
      </c>
      <c r="L95">
        <v>204</v>
      </c>
      <c r="M95">
        <v>403</v>
      </c>
      <c r="N95">
        <v>6785.6660301643897</v>
      </c>
      <c r="O95">
        <f t="shared" si="1"/>
        <v>9.0748288991712167E-3</v>
      </c>
    </row>
    <row r="96" spans="2:15" x14ac:dyDescent="0.2">
      <c r="B96" t="s">
        <v>161</v>
      </c>
      <c r="C96" t="s">
        <v>162</v>
      </c>
      <c r="D96">
        <v>5</v>
      </c>
      <c r="E96" t="s">
        <v>182</v>
      </c>
      <c r="F96" t="s">
        <v>179</v>
      </c>
      <c r="G96" t="s">
        <v>177</v>
      </c>
      <c r="H96" t="s">
        <v>180</v>
      </c>
      <c r="I96">
        <v>5</v>
      </c>
      <c r="J96">
        <v>44563.03125</v>
      </c>
      <c r="K96">
        <v>1607.34582519531</v>
      </c>
      <c r="L96">
        <v>434</v>
      </c>
      <c r="M96">
        <v>578</v>
      </c>
      <c r="N96">
        <v>8366.1996723953798</v>
      </c>
      <c r="O96">
        <f t="shared" si="1"/>
        <v>1.2970392358576371E-2</v>
      </c>
    </row>
    <row r="97" spans="2:15" x14ac:dyDescent="0.2">
      <c r="B97" t="s">
        <v>6</v>
      </c>
      <c r="C97" t="s">
        <v>162</v>
      </c>
      <c r="D97">
        <v>5</v>
      </c>
      <c r="E97" t="s">
        <v>182</v>
      </c>
      <c r="F97" t="s">
        <v>179</v>
      </c>
      <c r="G97" t="s">
        <v>177</v>
      </c>
      <c r="H97" t="s">
        <v>180</v>
      </c>
      <c r="I97">
        <v>5</v>
      </c>
      <c r="J97">
        <v>44323.19921875</v>
      </c>
      <c r="K97">
        <v>1383.33422851562</v>
      </c>
      <c r="L97">
        <v>265</v>
      </c>
      <c r="M97">
        <v>391</v>
      </c>
      <c r="N97">
        <v>7346.17140794837</v>
      </c>
      <c r="O97">
        <f t="shared" si="1"/>
        <v>8.8215653854380547E-3</v>
      </c>
    </row>
    <row r="98" spans="2:15" x14ac:dyDescent="0.2">
      <c r="B98" t="s">
        <v>161</v>
      </c>
      <c r="C98" t="s">
        <v>90</v>
      </c>
      <c r="D98">
        <v>5</v>
      </c>
      <c r="E98" t="s">
        <v>182</v>
      </c>
      <c r="F98" t="s">
        <v>179</v>
      </c>
      <c r="G98" t="s">
        <v>177</v>
      </c>
      <c r="H98" t="s">
        <v>180</v>
      </c>
      <c r="I98">
        <v>5</v>
      </c>
      <c r="J98">
        <v>44295.76953125</v>
      </c>
      <c r="K98">
        <v>550.775390625</v>
      </c>
      <c r="L98">
        <v>112</v>
      </c>
      <c r="M98">
        <v>202</v>
      </c>
      <c r="N98">
        <v>8674.6720466236093</v>
      </c>
      <c r="O98">
        <f t="shared" si="1"/>
        <v>4.5602548987774567E-3</v>
      </c>
    </row>
    <row r="99" spans="2:15" x14ac:dyDescent="0.2">
      <c r="B99" t="s">
        <v>6</v>
      </c>
      <c r="C99" t="s">
        <v>90</v>
      </c>
      <c r="D99">
        <v>5</v>
      </c>
      <c r="E99" t="s">
        <v>182</v>
      </c>
      <c r="F99" t="s">
        <v>179</v>
      </c>
      <c r="G99" t="s">
        <v>177</v>
      </c>
      <c r="H99" t="s">
        <v>180</v>
      </c>
      <c r="I99">
        <v>5</v>
      </c>
      <c r="J99">
        <v>44169.3046875</v>
      </c>
      <c r="K99">
        <v>998.53845214843795</v>
      </c>
      <c r="L99">
        <v>146</v>
      </c>
      <c r="M99">
        <v>312</v>
      </c>
      <c r="N99">
        <v>6387.9057366786901</v>
      </c>
      <c r="O99">
        <f t="shared" si="1"/>
        <v>7.0637290355239982E-3</v>
      </c>
    </row>
    <row r="100" spans="2:15" x14ac:dyDescent="0.2">
      <c r="B100" t="s">
        <v>161</v>
      </c>
      <c r="C100" t="s">
        <v>177</v>
      </c>
      <c r="D100">
        <v>6</v>
      </c>
      <c r="E100" t="s">
        <v>182</v>
      </c>
      <c r="F100" t="s">
        <v>179</v>
      </c>
      <c r="G100" t="s">
        <v>177</v>
      </c>
      <c r="H100" t="s">
        <v>180</v>
      </c>
      <c r="I100">
        <v>6</v>
      </c>
      <c r="J100">
        <v>44525.13671875</v>
      </c>
      <c r="K100">
        <v>2197.76318359375</v>
      </c>
      <c r="L100">
        <v>647</v>
      </c>
      <c r="M100">
        <v>773</v>
      </c>
      <c r="N100">
        <v>9173.3875519233097</v>
      </c>
      <c r="O100">
        <f t="shared" si="1"/>
        <v>1.7360979818720729E-2</v>
      </c>
    </row>
    <row r="101" spans="2:15" x14ac:dyDescent="0.2">
      <c r="B101" t="s">
        <v>6</v>
      </c>
      <c r="C101" t="s">
        <v>177</v>
      </c>
      <c r="D101">
        <v>6</v>
      </c>
      <c r="E101" t="s">
        <v>182</v>
      </c>
      <c r="F101" t="s">
        <v>179</v>
      </c>
      <c r="G101" t="s">
        <v>177</v>
      </c>
      <c r="H101" t="s">
        <v>180</v>
      </c>
      <c r="I101">
        <v>6</v>
      </c>
      <c r="J101">
        <v>44298.14453125</v>
      </c>
      <c r="K101">
        <v>687.35290527343795</v>
      </c>
      <c r="L101">
        <v>153</v>
      </c>
      <c r="M101">
        <v>271</v>
      </c>
      <c r="N101">
        <v>5991.0556406394098</v>
      </c>
      <c r="O101">
        <f t="shared" si="1"/>
        <v>6.1176377220229575E-3</v>
      </c>
    </row>
    <row r="102" spans="2:15" x14ac:dyDescent="0.2">
      <c r="B102" t="s">
        <v>161</v>
      </c>
      <c r="C102" t="s">
        <v>162</v>
      </c>
      <c r="D102">
        <v>6</v>
      </c>
      <c r="E102" t="s">
        <v>182</v>
      </c>
      <c r="F102" t="s">
        <v>179</v>
      </c>
      <c r="G102" t="s">
        <v>177</v>
      </c>
      <c r="H102" t="s">
        <v>180</v>
      </c>
      <c r="I102">
        <v>6</v>
      </c>
      <c r="J102">
        <v>44572.58203125</v>
      </c>
      <c r="K102">
        <v>769.29772949218795</v>
      </c>
      <c r="L102">
        <v>144</v>
      </c>
      <c r="M102">
        <v>305</v>
      </c>
      <c r="N102">
        <v>7974.2002817622997</v>
      </c>
      <c r="O102">
        <f t="shared" si="1"/>
        <v>6.8427716345030986E-3</v>
      </c>
    </row>
    <row r="103" spans="2:15" x14ac:dyDescent="0.2">
      <c r="B103" t="s">
        <v>6</v>
      </c>
      <c r="C103" t="s">
        <v>162</v>
      </c>
      <c r="D103">
        <v>6</v>
      </c>
      <c r="E103" t="s">
        <v>182</v>
      </c>
      <c r="F103" t="s">
        <v>179</v>
      </c>
      <c r="G103" t="s">
        <v>177</v>
      </c>
      <c r="H103" t="s">
        <v>180</v>
      </c>
      <c r="I103">
        <v>6</v>
      </c>
      <c r="J103">
        <v>44506.07421875</v>
      </c>
      <c r="K103">
        <v>1822.54443359375</v>
      </c>
      <c r="L103">
        <v>250</v>
      </c>
      <c r="M103">
        <v>619</v>
      </c>
      <c r="N103">
        <v>6328.8619292079002</v>
      </c>
      <c r="O103">
        <f t="shared" si="1"/>
        <v>1.3908213898120473E-2</v>
      </c>
    </row>
    <row r="104" spans="2:15" x14ac:dyDescent="0.2">
      <c r="B104" t="s">
        <v>161</v>
      </c>
      <c r="C104" t="s">
        <v>90</v>
      </c>
      <c r="D104">
        <v>6</v>
      </c>
      <c r="E104" t="s">
        <v>182</v>
      </c>
      <c r="F104" t="s">
        <v>179</v>
      </c>
      <c r="G104" t="s">
        <v>177</v>
      </c>
      <c r="H104" t="s">
        <v>180</v>
      </c>
      <c r="I104">
        <v>6</v>
      </c>
      <c r="J104">
        <v>44460.7578125</v>
      </c>
      <c r="K104">
        <v>1777.89990234375</v>
      </c>
      <c r="L104">
        <v>255</v>
      </c>
      <c r="M104">
        <v>645</v>
      </c>
      <c r="N104">
        <v>7976.9808071402604</v>
      </c>
      <c r="O104">
        <f t="shared" si="1"/>
        <v>1.4507175130034791E-2</v>
      </c>
    </row>
    <row r="105" spans="2:15" x14ac:dyDescent="0.2">
      <c r="B105" t="s">
        <v>6</v>
      </c>
      <c r="C105" t="s">
        <v>90</v>
      </c>
      <c r="D105">
        <v>6</v>
      </c>
      <c r="E105" t="s">
        <v>182</v>
      </c>
      <c r="F105" t="s">
        <v>179</v>
      </c>
      <c r="G105" t="s">
        <v>177</v>
      </c>
      <c r="H105" t="s">
        <v>180</v>
      </c>
      <c r="I105">
        <v>6</v>
      </c>
      <c r="J105">
        <v>43989.41796875</v>
      </c>
      <c r="K105">
        <v>8.3934068679809605E-3</v>
      </c>
      <c r="L105">
        <v>0</v>
      </c>
      <c r="M105">
        <v>0</v>
      </c>
      <c r="O105">
        <f t="shared" si="1"/>
        <v>0</v>
      </c>
    </row>
    <row r="106" spans="2:15" x14ac:dyDescent="0.2">
      <c r="B106" t="s">
        <v>161</v>
      </c>
      <c r="C106" t="s">
        <v>177</v>
      </c>
      <c r="D106">
        <v>7</v>
      </c>
      <c r="E106" t="s">
        <v>182</v>
      </c>
      <c r="F106" t="s">
        <v>179</v>
      </c>
      <c r="G106" t="s">
        <v>177</v>
      </c>
      <c r="H106" t="s">
        <v>180</v>
      </c>
      <c r="I106">
        <v>7</v>
      </c>
      <c r="J106">
        <v>44517.01171875</v>
      </c>
      <c r="K106">
        <v>2496.48461914062</v>
      </c>
      <c r="L106">
        <v>382</v>
      </c>
      <c r="M106">
        <v>802</v>
      </c>
      <c r="N106">
        <v>9006.2294453076302</v>
      </c>
      <c r="O106">
        <f t="shared" si="1"/>
        <v>1.8015584807598569E-2</v>
      </c>
    </row>
    <row r="107" spans="2:15" x14ac:dyDescent="0.2">
      <c r="B107" t="s">
        <v>6</v>
      </c>
      <c r="C107" t="s">
        <v>177</v>
      </c>
      <c r="D107">
        <v>7</v>
      </c>
      <c r="E107" t="s">
        <v>182</v>
      </c>
      <c r="F107" t="s">
        <v>179</v>
      </c>
      <c r="G107" t="s">
        <v>177</v>
      </c>
      <c r="H107" t="s">
        <v>180</v>
      </c>
      <c r="I107">
        <v>7</v>
      </c>
      <c r="J107">
        <v>44424.9921875</v>
      </c>
      <c r="K107">
        <v>906.59704589843795</v>
      </c>
      <c r="L107">
        <v>194</v>
      </c>
      <c r="M107">
        <v>300</v>
      </c>
      <c r="N107">
        <v>7200.9514518229198</v>
      </c>
      <c r="O107">
        <f t="shared" si="1"/>
        <v>6.7529556051202175E-3</v>
      </c>
    </row>
    <row r="108" spans="2:15" x14ac:dyDescent="0.2">
      <c r="B108" t="s">
        <v>161</v>
      </c>
      <c r="C108" t="s">
        <v>162</v>
      </c>
      <c r="D108">
        <v>7</v>
      </c>
      <c r="E108" t="s">
        <v>182</v>
      </c>
      <c r="F108" t="s">
        <v>179</v>
      </c>
      <c r="G108" t="s">
        <v>177</v>
      </c>
      <c r="H108" t="s">
        <v>180</v>
      </c>
      <c r="I108">
        <v>7</v>
      </c>
      <c r="J108">
        <v>44514.578125</v>
      </c>
      <c r="K108">
        <v>1732.11376953125</v>
      </c>
      <c r="L108">
        <v>362</v>
      </c>
      <c r="M108">
        <v>586</v>
      </c>
      <c r="N108">
        <v>8896.5577555060809</v>
      </c>
      <c r="O108">
        <f t="shared" si="1"/>
        <v>1.3164226747347164E-2</v>
      </c>
    </row>
    <row r="109" spans="2:15" x14ac:dyDescent="0.2">
      <c r="B109" t="s">
        <v>6</v>
      </c>
      <c r="C109" t="s">
        <v>162</v>
      </c>
      <c r="D109">
        <v>7</v>
      </c>
      <c r="E109" t="s">
        <v>182</v>
      </c>
      <c r="F109" t="s">
        <v>179</v>
      </c>
      <c r="G109" t="s">
        <v>177</v>
      </c>
      <c r="H109" t="s">
        <v>180</v>
      </c>
      <c r="I109">
        <v>7</v>
      </c>
      <c r="J109">
        <v>44528.46875</v>
      </c>
      <c r="K109">
        <v>1613.14562988281</v>
      </c>
      <c r="L109">
        <v>282</v>
      </c>
      <c r="M109">
        <v>490</v>
      </c>
      <c r="N109">
        <v>4823.1680484693898</v>
      </c>
      <c r="O109">
        <f t="shared" si="1"/>
        <v>1.1004196051542868E-2</v>
      </c>
    </row>
    <row r="110" spans="2:15" x14ac:dyDescent="0.2">
      <c r="B110" t="s">
        <v>161</v>
      </c>
      <c r="C110" t="s">
        <v>90</v>
      </c>
      <c r="D110">
        <v>7</v>
      </c>
      <c r="E110" t="s">
        <v>182</v>
      </c>
      <c r="F110" t="s">
        <v>179</v>
      </c>
      <c r="G110" t="s">
        <v>177</v>
      </c>
      <c r="H110" t="s">
        <v>180</v>
      </c>
      <c r="I110">
        <v>7</v>
      </c>
      <c r="J110">
        <v>44427.29296875</v>
      </c>
      <c r="K110">
        <v>2305.4169921875</v>
      </c>
      <c r="L110">
        <v>422</v>
      </c>
      <c r="M110">
        <v>884</v>
      </c>
      <c r="N110">
        <v>8117.2294540750499</v>
      </c>
      <c r="O110">
        <f t="shared" si="1"/>
        <v>1.9897678677424764E-2</v>
      </c>
    </row>
    <row r="111" spans="2:15" x14ac:dyDescent="0.2">
      <c r="B111" t="s">
        <v>6</v>
      </c>
      <c r="C111" t="s">
        <v>90</v>
      </c>
      <c r="D111">
        <v>7</v>
      </c>
      <c r="E111" t="s">
        <v>182</v>
      </c>
      <c r="F111" t="s">
        <v>179</v>
      </c>
      <c r="G111" t="s">
        <v>177</v>
      </c>
      <c r="H111" t="s">
        <v>180</v>
      </c>
      <c r="I111">
        <v>7</v>
      </c>
      <c r="J111">
        <v>44376.13671875</v>
      </c>
      <c r="K111">
        <v>1409.28662109375</v>
      </c>
      <c r="L111">
        <v>282</v>
      </c>
      <c r="M111">
        <v>470</v>
      </c>
      <c r="N111">
        <v>6971.8988842254003</v>
      </c>
      <c r="O111">
        <f t="shared" si="1"/>
        <v>1.05912779875093E-2</v>
      </c>
    </row>
    <row r="112" spans="2:15" x14ac:dyDescent="0.2">
      <c r="B112" t="s">
        <v>161</v>
      </c>
      <c r="C112" t="s">
        <v>177</v>
      </c>
      <c r="D112">
        <v>8</v>
      </c>
      <c r="E112" t="s">
        <v>182</v>
      </c>
      <c r="F112" t="s">
        <v>179</v>
      </c>
      <c r="G112" t="s">
        <v>177</v>
      </c>
      <c r="H112" t="s">
        <v>180</v>
      </c>
      <c r="I112">
        <v>8</v>
      </c>
      <c r="J112">
        <v>44518.421875</v>
      </c>
      <c r="K112">
        <v>2679.9560546875</v>
      </c>
      <c r="L112">
        <v>383</v>
      </c>
      <c r="M112">
        <v>766</v>
      </c>
      <c r="N112">
        <v>8499.9147496634305</v>
      </c>
      <c r="O112">
        <f t="shared" si="1"/>
        <v>1.7206360147958413E-2</v>
      </c>
    </row>
    <row r="113" spans="2:15" x14ac:dyDescent="0.2">
      <c r="B113" t="s">
        <v>6</v>
      </c>
      <c r="C113" t="s">
        <v>177</v>
      </c>
      <c r="D113">
        <v>8</v>
      </c>
      <c r="E113" t="s">
        <v>182</v>
      </c>
      <c r="F113" t="s">
        <v>179</v>
      </c>
      <c r="G113" t="s">
        <v>177</v>
      </c>
      <c r="H113" t="s">
        <v>180</v>
      </c>
      <c r="I113">
        <v>8</v>
      </c>
      <c r="J113">
        <v>44409.87890625</v>
      </c>
      <c r="K113">
        <v>2409.00854492188</v>
      </c>
      <c r="L113">
        <v>349</v>
      </c>
      <c r="M113">
        <v>768</v>
      </c>
      <c r="N113">
        <v>7672.0882492065402</v>
      </c>
      <c r="O113">
        <f t="shared" si="1"/>
        <v>1.7293449541289245E-2</v>
      </c>
    </row>
    <row r="114" spans="2:15" x14ac:dyDescent="0.2">
      <c r="B114" t="s">
        <v>161</v>
      </c>
      <c r="C114" t="s">
        <v>162</v>
      </c>
      <c r="D114">
        <v>8</v>
      </c>
      <c r="E114" t="s">
        <v>182</v>
      </c>
      <c r="F114" t="s">
        <v>179</v>
      </c>
      <c r="G114" t="s">
        <v>177</v>
      </c>
      <c r="H114" t="s">
        <v>180</v>
      </c>
      <c r="I114">
        <v>8</v>
      </c>
      <c r="J114">
        <v>44522.9609375</v>
      </c>
      <c r="K114">
        <v>1650.72290039062</v>
      </c>
      <c r="L114">
        <v>191</v>
      </c>
      <c r="M114">
        <v>534</v>
      </c>
      <c r="N114">
        <v>9112.51186413711</v>
      </c>
      <c r="O114">
        <f t="shared" si="1"/>
        <v>1.1993811479645598E-2</v>
      </c>
    </row>
    <row r="115" spans="2:15" x14ac:dyDescent="0.2">
      <c r="B115" t="s">
        <v>6</v>
      </c>
      <c r="C115" t="s">
        <v>162</v>
      </c>
      <c r="D115">
        <v>8</v>
      </c>
      <c r="E115" t="s">
        <v>182</v>
      </c>
      <c r="F115" t="s">
        <v>179</v>
      </c>
      <c r="G115" t="s">
        <v>177</v>
      </c>
      <c r="H115" t="s">
        <v>180</v>
      </c>
      <c r="I115">
        <v>8</v>
      </c>
      <c r="J115">
        <v>44525.94921875</v>
      </c>
      <c r="K115">
        <v>1775.87707519531</v>
      </c>
      <c r="L115">
        <v>308</v>
      </c>
      <c r="M115">
        <v>751</v>
      </c>
      <c r="N115">
        <v>6491.4471609468601</v>
      </c>
      <c r="O115">
        <f t="shared" si="1"/>
        <v>1.6866569117043144E-2</v>
      </c>
    </row>
    <row r="116" spans="2:15" x14ac:dyDescent="0.2">
      <c r="B116" t="s">
        <v>161</v>
      </c>
      <c r="C116" t="s">
        <v>90</v>
      </c>
      <c r="D116">
        <v>8</v>
      </c>
      <c r="E116" t="s">
        <v>182</v>
      </c>
      <c r="F116" t="s">
        <v>179</v>
      </c>
      <c r="G116" t="s">
        <v>177</v>
      </c>
      <c r="H116" t="s">
        <v>180</v>
      </c>
      <c r="I116">
        <v>8</v>
      </c>
      <c r="J116">
        <v>44520.88671875</v>
      </c>
      <c r="K116">
        <v>2236.90161132812</v>
      </c>
      <c r="L116">
        <v>322</v>
      </c>
      <c r="M116">
        <v>949</v>
      </c>
      <c r="N116">
        <v>7949.6460032970599</v>
      </c>
      <c r="O116">
        <f t="shared" si="1"/>
        <v>2.1315837799796743E-2</v>
      </c>
    </row>
    <row r="117" spans="2:15" x14ac:dyDescent="0.2">
      <c r="B117" t="s">
        <v>6</v>
      </c>
      <c r="C117" t="s">
        <v>90</v>
      </c>
      <c r="D117">
        <v>8</v>
      </c>
      <c r="E117" t="s">
        <v>182</v>
      </c>
      <c r="F117" t="s">
        <v>179</v>
      </c>
      <c r="G117" t="s">
        <v>177</v>
      </c>
      <c r="H117" t="s">
        <v>180</v>
      </c>
      <c r="I117">
        <v>8</v>
      </c>
      <c r="J117">
        <v>44315.87890625</v>
      </c>
      <c r="K117">
        <v>1076.31176757812</v>
      </c>
      <c r="L117">
        <v>363</v>
      </c>
      <c r="M117">
        <v>479</v>
      </c>
      <c r="N117">
        <v>6400.6040008481204</v>
      </c>
      <c r="O117">
        <f t="shared" si="1"/>
        <v>1.0808766785677926E-2</v>
      </c>
    </row>
    <row r="118" spans="2:15" x14ac:dyDescent="0.2">
      <c r="B118" t="s">
        <v>161</v>
      </c>
      <c r="C118" t="s">
        <v>177</v>
      </c>
      <c r="D118">
        <v>9</v>
      </c>
      <c r="E118" t="s">
        <v>182</v>
      </c>
      <c r="F118" t="s">
        <v>179</v>
      </c>
      <c r="G118" t="s">
        <v>177</v>
      </c>
      <c r="H118" t="s">
        <v>180</v>
      </c>
      <c r="I118">
        <v>9</v>
      </c>
      <c r="J118">
        <v>44504.73046875</v>
      </c>
      <c r="K118">
        <v>3249.76782226562</v>
      </c>
      <c r="L118">
        <v>800</v>
      </c>
      <c r="M118">
        <v>1766</v>
      </c>
      <c r="N118">
        <v>9187.4811707579793</v>
      </c>
      <c r="O118">
        <f t="shared" si="1"/>
        <v>3.9681175043629051E-2</v>
      </c>
    </row>
    <row r="119" spans="2:15" x14ac:dyDescent="0.2">
      <c r="B119" t="s">
        <v>6</v>
      </c>
      <c r="C119" t="s">
        <v>177</v>
      </c>
      <c r="D119">
        <v>9</v>
      </c>
      <c r="E119" t="s">
        <v>182</v>
      </c>
      <c r="F119" t="s">
        <v>179</v>
      </c>
      <c r="G119" t="s">
        <v>177</v>
      </c>
      <c r="H119" t="s">
        <v>180</v>
      </c>
      <c r="I119">
        <v>9</v>
      </c>
      <c r="J119">
        <v>44230.9453125</v>
      </c>
      <c r="K119">
        <v>2455.04638671875</v>
      </c>
      <c r="L119">
        <v>302</v>
      </c>
      <c r="M119">
        <v>720</v>
      </c>
      <c r="N119">
        <v>7248.7452494303398</v>
      </c>
      <c r="O119">
        <f t="shared" si="1"/>
        <v>1.6278196066420551E-2</v>
      </c>
    </row>
    <row r="120" spans="2:15" x14ac:dyDescent="0.2">
      <c r="B120" t="s">
        <v>161</v>
      </c>
      <c r="C120" t="s">
        <v>162</v>
      </c>
      <c r="D120">
        <v>9</v>
      </c>
      <c r="E120" t="s">
        <v>182</v>
      </c>
      <c r="F120" t="s">
        <v>179</v>
      </c>
      <c r="G120" t="s">
        <v>177</v>
      </c>
      <c r="H120" t="s">
        <v>180</v>
      </c>
      <c r="I120">
        <v>9</v>
      </c>
      <c r="J120">
        <v>44582.92578125</v>
      </c>
      <c r="K120">
        <v>1534.87719726562</v>
      </c>
      <c r="L120">
        <v>371</v>
      </c>
      <c r="M120">
        <v>669</v>
      </c>
      <c r="N120">
        <v>9113.1485571982394</v>
      </c>
      <c r="O120">
        <f t="shared" si="1"/>
        <v>1.5005744649476498E-2</v>
      </c>
    </row>
    <row r="121" spans="2:15" x14ac:dyDescent="0.2">
      <c r="B121" t="s">
        <v>6</v>
      </c>
      <c r="C121" t="s">
        <v>162</v>
      </c>
      <c r="D121">
        <v>9</v>
      </c>
      <c r="E121" t="s">
        <v>182</v>
      </c>
      <c r="F121" t="s">
        <v>179</v>
      </c>
      <c r="G121" t="s">
        <v>177</v>
      </c>
      <c r="H121" t="s">
        <v>180</v>
      </c>
      <c r="I121">
        <v>9</v>
      </c>
      <c r="J121">
        <v>44373.6171875</v>
      </c>
      <c r="K121">
        <v>8.3934068679809605E-3</v>
      </c>
      <c r="L121">
        <v>0</v>
      </c>
      <c r="M121">
        <v>0</v>
      </c>
      <c r="O121">
        <f t="shared" si="1"/>
        <v>0</v>
      </c>
    </row>
    <row r="122" spans="2:15" x14ac:dyDescent="0.2">
      <c r="B122" t="s">
        <v>161</v>
      </c>
      <c r="C122" t="s">
        <v>177</v>
      </c>
      <c r="D122">
        <v>10</v>
      </c>
      <c r="E122" t="s">
        <v>182</v>
      </c>
      <c r="F122" t="s">
        <v>179</v>
      </c>
      <c r="G122" t="s">
        <v>177</v>
      </c>
      <c r="H122" t="s">
        <v>180</v>
      </c>
      <c r="I122">
        <v>10</v>
      </c>
      <c r="J122">
        <v>44535.8359375</v>
      </c>
      <c r="K122">
        <v>1714.78979492188</v>
      </c>
      <c r="L122">
        <v>280</v>
      </c>
      <c r="M122">
        <v>558</v>
      </c>
      <c r="N122">
        <v>10426.5387571055</v>
      </c>
      <c r="O122">
        <f t="shared" si="1"/>
        <v>1.252923602429013E-2</v>
      </c>
    </row>
    <row r="123" spans="2:15" x14ac:dyDescent="0.2">
      <c r="B123" t="s">
        <v>6</v>
      </c>
      <c r="C123" t="s">
        <v>177</v>
      </c>
      <c r="D123">
        <v>10</v>
      </c>
      <c r="E123" t="s">
        <v>182</v>
      </c>
      <c r="F123" t="s">
        <v>179</v>
      </c>
      <c r="G123" t="s">
        <v>177</v>
      </c>
      <c r="H123" t="s">
        <v>180</v>
      </c>
      <c r="I123">
        <v>10</v>
      </c>
      <c r="J123">
        <v>43979.36328125</v>
      </c>
      <c r="K123">
        <v>1154.09350585938</v>
      </c>
      <c r="L123">
        <v>228</v>
      </c>
      <c r="M123">
        <v>363</v>
      </c>
      <c r="N123">
        <v>7375.9872683690601</v>
      </c>
      <c r="O123">
        <f t="shared" si="1"/>
        <v>8.2538712004218591E-3</v>
      </c>
    </row>
    <row r="124" spans="2:15" x14ac:dyDescent="0.2">
      <c r="B124" t="s">
        <v>161</v>
      </c>
      <c r="C124" t="s">
        <v>162</v>
      </c>
      <c r="D124">
        <v>10</v>
      </c>
      <c r="E124" t="s">
        <v>182</v>
      </c>
      <c r="F124" t="s">
        <v>179</v>
      </c>
      <c r="G124" t="s">
        <v>177</v>
      </c>
      <c r="H124" t="s">
        <v>180</v>
      </c>
      <c r="I124">
        <v>10</v>
      </c>
      <c r="J124">
        <v>44495.53125</v>
      </c>
      <c r="K124">
        <v>1459.89880371094</v>
      </c>
      <c r="L124">
        <v>500</v>
      </c>
      <c r="M124">
        <v>763</v>
      </c>
      <c r="N124">
        <v>8660.3377069595808</v>
      </c>
      <c r="O124">
        <f t="shared" si="1"/>
        <v>1.7147789419864494E-2</v>
      </c>
    </row>
    <row r="128" spans="2:15" x14ac:dyDescent="0.2">
      <c r="B128" t="s">
        <v>183</v>
      </c>
    </row>
    <row r="129" spans="2:15" x14ac:dyDescent="0.2">
      <c r="B129" t="s">
        <v>184</v>
      </c>
      <c r="C129" t="s">
        <v>90</v>
      </c>
      <c r="D129">
        <v>1.5037564674339374E-2</v>
      </c>
      <c r="E129">
        <v>1.7002615225310602E-2</v>
      </c>
      <c r="F129">
        <v>2.0175954237370015E-2</v>
      </c>
      <c r="G129">
        <v>2.1546782802542078E-2</v>
      </c>
      <c r="H129">
        <v>3.0783941421559897E-2</v>
      </c>
      <c r="I129">
        <v>1.3313493809987897E-2</v>
      </c>
      <c r="J129">
        <v>2.1899845884284053E-2</v>
      </c>
      <c r="K129">
        <v>0</v>
      </c>
      <c r="L129">
        <v>1.8295772465294409E-2</v>
      </c>
      <c r="M129">
        <v>2.5672147043511083E-2</v>
      </c>
      <c r="N129" s="19">
        <v>1.837281175641994E-2</v>
      </c>
    </row>
    <row r="130" spans="2:15" x14ac:dyDescent="0.2">
      <c r="B130" t="s">
        <v>6</v>
      </c>
      <c r="C130" t="s">
        <v>90</v>
      </c>
      <c r="D130">
        <v>8.051093097001142E-3</v>
      </c>
      <c r="E130">
        <v>9.4800354307900021E-3</v>
      </c>
      <c r="F130">
        <v>2.2054355803699809E-2</v>
      </c>
      <c r="G130">
        <v>3.4235853567193331E-2</v>
      </c>
      <c r="H130">
        <v>1.5587870336428463E-2</v>
      </c>
      <c r="I130">
        <v>1.8006638649986226E-2</v>
      </c>
      <c r="J130">
        <v>2.4267394243779002E-2</v>
      </c>
      <c r="K130">
        <v>1.5609271277869189E-2</v>
      </c>
      <c r="L130">
        <v>2.2362697493261433E-2</v>
      </c>
      <c r="N130" s="19">
        <v>1.8850578877778731E-2</v>
      </c>
    </row>
    <row r="131" spans="2:15" x14ac:dyDescent="0.2">
      <c r="B131" t="s">
        <v>184</v>
      </c>
      <c r="C131" t="s">
        <v>162</v>
      </c>
      <c r="D131">
        <v>1.0010481500249818E-3</v>
      </c>
      <c r="E131">
        <v>2.236215825885751E-3</v>
      </c>
      <c r="F131">
        <v>1.5854927134403132E-2</v>
      </c>
      <c r="G131">
        <v>1.8122850843600494E-2</v>
      </c>
      <c r="H131">
        <v>2.5229912960763691E-2</v>
      </c>
      <c r="I131">
        <v>2.4839504691808432E-2</v>
      </c>
      <c r="J131">
        <v>1.9945354879618332E-2</v>
      </c>
      <c r="K131">
        <v>2.1741305192369758E-2</v>
      </c>
      <c r="L131">
        <v>1.0622596208157241E-2</v>
      </c>
      <c r="M131">
        <v>4.0560538187641077E-4</v>
      </c>
      <c r="N131" s="19">
        <v>1.3999932126850825E-2</v>
      </c>
    </row>
    <row r="132" spans="2:15" x14ac:dyDescent="0.2">
      <c r="B132" t="s">
        <v>6</v>
      </c>
      <c r="C132" t="s">
        <v>162</v>
      </c>
      <c r="D132">
        <v>1.2305864522333282E-2</v>
      </c>
      <c r="E132">
        <v>1.7771772618324117E-3</v>
      </c>
      <c r="F132">
        <v>1.8958719963497725E-2</v>
      </c>
      <c r="G132">
        <v>1.7995365308829343E-2</v>
      </c>
      <c r="H132">
        <v>2.6955168868605047E-2</v>
      </c>
      <c r="I132">
        <v>2.1830748357092127E-2</v>
      </c>
      <c r="J132">
        <v>1.5922476180851481E-2</v>
      </c>
      <c r="K132">
        <v>4.3531644939411212E-3</v>
      </c>
      <c r="L132">
        <v>1.8213286107106881E-2</v>
      </c>
      <c r="M132">
        <v>2.255003974402392E-2</v>
      </c>
      <c r="N132" s="19">
        <v>1.6086201080811331E-2</v>
      </c>
    </row>
    <row r="135" spans="2:15" ht="81" thickBot="1" x14ac:dyDescent="0.25">
      <c r="B135" s="14" t="s">
        <v>163</v>
      </c>
      <c r="C135" s="14" t="s">
        <v>164</v>
      </c>
      <c r="D135" s="15" t="s">
        <v>165</v>
      </c>
      <c r="E135" s="14" t="s">
        <v>166</v>
      </c>
      <c r="F135" s="14" t="s">
        <v>167</v>
      </c>
      <c r="G135" s="14" t="s">
        <v>168</v>
      </c>
      <c r="H135" s="14" t="s">
        <v>169</v>
      </c>
      <c r="I135" s="15" t="s">
        <v>170</v>
      </c>
      <c r="J135" s="15" t="s">
        <v>171</v>
      </c>
      <c r="K135" s="15" t="s">
        <v>172</v>
      </c>
      <c r="L135" s="15" t="s">
        <v>173</v>
      </c>
      <c r="M135" s="15" t="s">
        <v>174</v>
      </c>
      <c r="N135" s="15" t="s">
        <v>175</v>
      </c>
      <c r="O135" s="16" t="s">
        <v>176</v>
      </c>
    </row>
    <row r="136" spans="2:15" x14ac:dyDescent="0.2">
      <c r="B136" t="s">
        <v>161</v>
      </c>
      <c r="C136" t="s">
        <v>177</v>
      </c>
      <c r="D136">
        <v>1</v>
      </c>
      <c r="E136" t="s">
        <v>185</v>
      </c>
      <c r="F136" t="s">
        <v>179</v>
      </c>
      <c r="G136" t="s">
        <v>177</v>
      </c>
      <c r="H136" t="s">
        <v>180</v>
      </c>
      <c r="I136">
        <v>1</v>
      </c>
      <c r="J136">
        <v>44519.921875</v>
      </c>
      <c r="K136">
        <v>2266.06884765625</v>
      </c>
      <c r="L136">
        <v>620</v>
      </c>
      <c r="M136">
        <v>1116</v>
      </c>
      <c r="N136">
        <v>1150.2511373540401</v>
      </c>
      <c r="O136">
        <f t="shared" ref="O136:O193" si="2">M136/J136</f>
        <v>2.5067429433803336E-2</v>
      </c>
    </row>
    <row r="137" spans="2:15" x14ac:dyDescent="0.2">
      <c r="B137" t="s">
        <v>6</v>
      </c>
      <c r="C137" t="s">
        <v>177</v>
      </c>
      <c r="D137">
        <v>1</v>
      </c>
      <c r="E137" t="s">
        <v>185</v>
      </c>
      <c r="F137" t="s">
        <v>179</v>
      </c>
      <c r="G137" t="s">
        <v>177</v>
      </c>
      <c r="H137" t="s">
        <v>180</v>
      </c>
      <c r="I137">
        <v>1</v>
      </c>
      <c r="J137">
        <v>44319.890625</v>
      </c>
      <c r="K137">
        <v>1950.49353027344</v>
      </c>
      <c r="L137">
        <v>679</v>
      </c>
      <c r="M137">
        <v>1183</v>
      </c>
      <c r="N137">
        <v>853.42660695299298</v>
      </c>
      <c r="O137">
        <f t="shared" si="2"/>
        <v>2.6692304139683331E-2</v>
      </c>
    </row>
    <row r="138" spans="2:15" x14ac:dyDescent="0.2">
      <c r="B138" t="s">
        <v>161</v>
      </c>
      <c r="C138" t="s">
        <v>162</v>
      </c>
      <c r="D138">
        <v>1</v>
      </c>
      <c r="E138" t="s">
        <v>185</v>
      </c>
      <c r="F138" t="s">
        <v>179</v>
      </c>
      <c r="G138" t="s">
        <v>177</v>
      </c>
      <c r="H138" t="s">
        <v>180</v>
      </c>
      <c r="I138">
        <v>1</v>
      </c>
      <c r="J138">
        <v>44531.61328125</v>
      </c>
      <c r="K138">
        <v>1478.45666503906</v>
      </c>
      <c r="L138">
        <v>224</v>
      </c>
      <c r="M138">
        <v>548</v>
      </c>
      <c r="N138">
        <v>1628.5956623606401</v>
      </c>
      <c r="O138">
        <f t="shared" si="2"/>
        <v>1.2305864522333282E-2</v>
      </c>
    </row>
    <row r="139" spans="2:15" x14ac:dyDescent="0.2">
      <c r="B139" t="s">
        <v>6</v>
      </c>
      <c r="C139" t="s">
        <v>162</v>
      </c>
      <c r="D139">
        <v>1</v>
      </c>
      <c r="E139" t="s">
        <v>185</v>
      </c>
      <c r="F139" t="s">
        <v>179</v>
      </c>
      <c r="G139" t="s">
        <v>177</v>
      </c>
      <c r="H139" t="s">
        <v>180</v>
      </c>
      <c r="I139">
        <v>1</v>
      </c>
      <c r="J139">
        <v>43953.9296875</v>
      </c>
      <c r="K139">
        <v>1195.11206054688</v>
      </c>
      <c r="L139">
        <v>7</v>
      </c>
      <c r="M139">
        <v>44</v>
      </c>
      <c r="N139">
        <v>3005.1449695933902</v>
      </c>
      <c r="O139">
        <f t="shared" si="2"/>
        <v>1.0010481500249818E-3</v>
      </c>
    </row>
    <row r="140" spans="2:15" x14ac:dyDescent="0.2">
      <c r="B140" t="s">
        <v>161</v>
      </c>
      <c r="C140" t="s">
        <v>90</v>
      </c>
      <c r="D140">
        <v>1</v>
      </c>
      <c r="E140" t="s">
        <v>185</v>
      </c>
      <c r="F140" t="s">
        <v>179</v>
      </c>
      <c r="G140" t="s">
        <v>177</v>
      </c>
      <c r="H140" t="s">
        <v>180</v>
      </c>
      <c r="I140">
        <v>1</v>
      </c>
      <c r="J140">
        <v>44466.01171875</v>
      </c>
      <c r="K140">
        <v>761.07220458984398</v>
      </c>
      <c r="L140">
        <v>231</v>
      </c>
      <c r="M140">
        <v>358</v>
      </c>
      <c r="N140">
        <v>914.96289693310302</v>
      </c>
      <c r="O140">
        <f t="shared" si="2"/>
        <v>8.051093097001142E-3</v>
      </c>
    </row>
    <row r="141" spans="2:15" x14ac:dyDescent="0.2">
      <c r="B141" t="s">
        <v>6</v>
      </c>
      <c r="C141" t="s">
        <v>90</v>
      </c>
      <c r="D141">
        <v>1</v>
      </c>
      <c r="E141" t="s">
        <v>185</v>
      </c>
      <c r="F141" t="s">
        <v>179</v>
      </c>
      <c r="G141" t="s">
        <v>177</v>
      </c>
      <c r="H141" t="s">
        <v>180</v>
      </c>
      <c r="I141">
        <v>1</v>
      </c>
      <c r="J141">
        <v>44089.5859375</v>
      </c>
      <c r="K141">
        <v>1430.25329589844</v>
      </c>
      <c r="L141">
        <v>254</v>
      </c>
      <c r="M141">
        <v>663</v>
      </c>
      <c r="N141">
        <v>2710.5337720499901</v>
      </c>
      <c r="O141">
        <f t="shared" si="2"/>
        <v>1.5037564674339374E-2</v>
      </c>
    </row>
    <row r="142" spans="2:15" x14ac:dyDescent="0.2">
      <c r="B142" t="s">
        <v>161</v>
      </c>
      <c r="C142" t="s">
        <v>177</v>
      </c>
      <c r="D142">
        <v>2</v>
      </c>
      <c r="E142" t="s">
        <v>185</v>
      </c>
      <c r="F142" t="s">
        <v>179</v>
      </c>
      <c r="G142" t="s">
        <v>177</v>
      </c>
      <c r="H142" t="s">
        <v>180</v>
      </c>
      <c r="I142">
        <v>2</v>
      </c>
      <c r="J142">
        <v>44521.98828125</v>
      </c>
      <c r="K142">
        <v>1466.7646484375</v>
      </c>
      <c r="L142">
        <v>526</v>
      </c>
      <c r="M142">
        <v>768</v>
      </c>
      <c r="N142">
        <v>737.445624113083</v>
      </c>
      <c r="O142">
        <f t="shared" si="2"/>
        <v>1.7249903466764888E-2</v>
      </c>
    </row>
    <row r="143" spans="2:15" x14ac:dyDescent="0.2">
      <c r="B143" t="s">
        <v>6</v>
      </c>
      <c r="C143" t="s">
        <v>177</v>
      </c>
      <c r="D143">
        <v>2</v>
      </c>
      <c r="E143" t="s">
        <v>185</v>
      </c>
      <c r="F143" t="s">
        <v>179</v>
      </c>
      <c r="G143" t="s">
        <v>177</v>
      </c>
      <c r="H143" t="s">
        <v>180</v>
      </c>
      <c r="I143">
        <v>2</v>
      </c>
      <c r="J143">
        <v>43983.359375</v>
      </c>
      <c r="K143">
        <v>722.61358642578102</v>
      </c>
      <c r="L143">
        <v>207</v>
      </c>
      <c r="M143">
        <v>349</v>
      </c>
      <c r="N143">
        <v>791.547147996788</v>
      </c>
      <c r="O143">
        <f t="shared" si="2"/>
        <v>7.9348190988424248E-3</v>
      </c>
    </row>
    <row r="144" spans="2:15" x14ac:dyDescent="0.2">
      <c r="B144" t="s">
        <v>161</v>
      </c>
      <c r="C144" t="s">
        <v>162</v>
      </c>
      <c r="D144">
        <v>2</v>
      </c>
      <c r="E144" t="s">
        <v>185</v>
      </c>
      <c r="F144" t="s">
        <v>179</v>
      </c>
      <c r="G144" t="s">
        <v>177</v>
      </c>
      <c r="H144" t="s">
        <v>180</v>
      </c>
      <c r="I144">
        <v>2</v>
      </c>
      <c r="J144">
        <v>44452.515625</v>
      </c>
      <c r="K144">
        <v>2117.5390625</v>
      </c>
      <c r="L144">
        <v>54</v>
      </c>
      <c r="M144">
        <v>79</v>
      </c>
      <c r="N144">
        <v>3310.5501168166502</v>
      </c>
      <c r="O144">
        <f t="shared" si="2"/>
        <v>1.7771772618324117E-3</v>
      </c>
    </row>
    <row r="145" spans="2:15" x14ac:dyDescent="0.2">
      <c r="B145" t="s">
        <v>6</v>
      </c>
      <c r="C145" t="s">
        <v>162</v>
      </c>
      <c r="D145">
        <v>2</v>
      </c>
      <c r="E145" t="s">
        <v>185</v>
      </c>
      <c r="F145" t="s">
        <v>179</v>
      </c>
      <c r="G145" t="s">
        <v>177</v>
      </c>
      <c r="H145" t="s">
        <v>180</v>
      </c>
      <c r="I145">
        <v>2</v>
      </c>
      <c r="J145">
        <v>44271.21875</v>
      </c>
      <c r="K145">
        <v>513.06378173828102</v>
      </c>
      <c r="L145">
        <v>40</v>
      </c>
      <c r="M145">
        <v>99</v>
      </c>
      <c r="N145">
        <v>2418.5655098346701</v>
      </c>
      <c r="O145">
        <f t="shared" si="2"/>
        <v>2.236215825885751E-3</v>
      </c>
    </row>
    <row r="146" spans="2:15" x14ac:dyDescent="0.2">
      <c r="B146" t="s">
        <v>161</v>
      </c>
      <c r="C146" t="s">
        <v>90</v>
      </c>
      <c r="D146">
        <v>2</v>
      </c>
      <c r="E146" t="s">
        <v>185</v>
      </c>
      <c r="F146" t="s">
        <v>179</v>
      </c>
      <c r="G146" t="s">
        <v>177</v>
      </c>
      <c r="H146" t="s">
        <v>180</v>
      </c>
      <c r="I146">
        <v>2</v>
      </c>
      <c r="J146">
        <v>44514.6015625</v>
      </c>
      <c r="K146">
        <v>775.03039550781205</v>
      </c>
      <c r="L146">
        <v>172</v>
      </c>
      <c r="M146">
        <v>422</v>
      </c>
      <c r="N146">
        <v>1557.2049360953199</v>
      </c>
      <c r="O146">
        <f t="shared" si="2"/>
        <v>9.4800354307900021E-3</v>
      </c>
    </row>
    <row r="147" spans="2:15" x14ac:dyDescent="0.2">
      <c r="B147" t="s">
        <v>6</v>
      </c>
      <c r="C147" t="s">
        <v>90</v>
      </c>
      <c r="D147">
        <v>2</v>
      </c>
      <c r="E147" t="s">
        <v>185</v>
      </c>
      <c r="F147" t="s">
        <v>179</v>
      </c>
      <c r="G147" t="s">
        <v>177</v>
      </c>
      <c r="H147" t="s">
        <v>180</v>
      </c>
      <c r="I147">
        <v>2</v>
      </c>
      <c r="J147">
        <v>44404.93359375</v>
      </c>
      <c r="K147">
        <v>1744.93896484375</v>
      </c>
      <c r="L147">
        <v>373</v>
      </c>
      <c r="M147">
        <v>755</v>
      </c>
      <c r="N147">
        <v>2652.4634702568801</v>
      </c>
      <c r="O147">
        <f t="shared" si="2"/>
        <v>1.7002615225310602E-2</v>
      </c>
    </row>
    <row r="148" spans="2:15" x14ac:dyDescent="0.2">
      <c r="B148" t="s">
        <v>161</v>
      </c>
      <c r="C148" t="s">
        <v>177</v>
      </c>
      <c r="D148">
        <v>3</v>
      </c>
      <c r="E148" t="s">
        <v>185</v>
      </c>
      <c r="F148" t="s">
        <v>179</v>
      </c>
      <c r="G148" t="s">
        <v>177</v>
      </c>
      <c r="H148" t="s">
        <v>180</v>
      </c>
      <c r="I148">
        <v>3</v>
      </c>
      <c r="J148">
        <v>44355.96484375</v>
      </c>
      <c r="K148">
        <v>2257.02075195312</v>
      </c>
      <c r="L148">
        <v>677</v>
      </c>
      <c r="M148">
        <v>1071</v>
      </c>
      <c r="N148">
        <v>1395.3667326142699</v>
      </c>
      <c r="O148">
        <f t="shared" si="2"/>
        <v>2.4145568781397161E-2</v>
      </c>
    </row>
    <row r="149" spans="2:15" x14ac:dyDescent="0.2">
      <c r="B149" t="s">
        <v>6</v>
      </c>
      <c r="C149" t="s">
        <v>177</v>
      </c>
      <c r="D149">
        <v>3</v>
      </c>
      <c r="E149" t="s">
        <v>185</v>
      </c>
      <c r="F149" t="s">
        <v>179</v>
      </c>
      <c r="G149" t="s">
        <v>177</v>
      </c>
      <c r="H149" t="s">
        <v>180</v>
      </c>
      <c r="I149">
        <v>3</v>
      </c>
      <c r="J149">
        <v>44070.14453125</v>
      </c>
      <c r="K149">
        <v>623.92388916015602</v>
      </c>
      <c r="L149">
        <v>137</v>
      </c>
      <c r="M149">
        <v>241</v>
      </c>
      <c r="N149">
        <v>835.11309738475802</v>
      </c>
      <c r="O149">
        <f t="shared" si="2"/>
        <v>5.4685547906271935E-3</v>
      </c>
    </row>
    <row r="150" spans="2:15" x14ac:dyDescent="0.2">
      <c r="B150" t="s">
        <v>161</v>
      </c>
      <c r="C150" t="s">
        <v>162</v>
      </c>
      <c r="D150">
        <v>3</v>
      </c>
      <c r="E150" t="s">
        <v>185</v>
      </c>
      <c r="F150" t="s">
        <v>179</v>
      </c>
      <c r="G150" t="s">
        <v>177</v>
      </c>
      <c r="H150" t="s">
        <v>180</v>
      </c>
      <c r="I150">
        <v>3</v>
      </c>
      <c r="J150">
        <v>44517.7734375</v>
      </c>
      <c r="K150">
        <v>2015.60119628906</v>
      </c>
      <c r="L150">
        <v>374</v>
      </c>
      <c r="M150">
        <v>844</v>
      </c>
      <c r="N150">
        <v>1367.23134153827</v>
      </c>
      <c r="O150">
        <f t="shared" si="2"/>
        <v>1.8958719963497725E-2</v>
      </c>
    </row>
    <row r="151" spans="2:15" x14ac:dyDescent="0.2">
      <c r="B151" t="s">
        <v>6</v>
      </c>
      <c r="C151" t="s">
        <v>162</v>
      </c>
      <c r="D151">
        <v>3</v>
      </c>
      <c r="E151" t="s">
        <v>185</v>
      </c>
      <c r="F151" t="s">
        <v>179</v>
      </c>
      <c r="G151" t="s">
        <v>177</v>
      </c>
      <c r="H151" t="s">
        <v>180</v>
      </c>
      <c r="I151">
        <v>3</v>
      </c>
      <c r="J151">
        <v>44276.45703125</v>
      </c>
      <c r="K151">
        <v>1887.70239257812</v>
      </c>
      <c r="L151">
        <v>287</v>
      </c>
      <c r="M151">
        <v>702</v>
      </c>
      <c r="N151">
        <v>1286.6795071767599</v>
      </c>
      <c r="O151">
        <f t="shared" si="2"/>
        <v>1.5854927134403132E-2</v>
      </c>
    </row>
    <row r="152" spans="2:15" x14ac:dyDescent="0.2">
      <c r="B152" t="s">
        <v>161</v>
      </c>
      <c r="C152" t="s">
        <v>90</v>
      </c>
      <c r="D152">
        <v>3</v>
      </c>
      <c r="E152" t="s">
        <v>185</v>
      </c>
      <c r="F152" t="s">
        <v>179</v>
      </c>
      <c r="G152" t="s">
        <v>177</v>
      </c>
      <c r="H152" t="s">
        <v>180</v>
      </c>
      <c r="I152">
        <v>3</v>
      </c>
      <c r="J152">
        <v>44526.3515625</v>
      </c>
      <c r="K152">
        <v>2814.08276367188</v>
      </c>
      <c r="L152">
        <v>489</v>
      </c>
      <c r="M152">
        <v>982</v>
      </c>
      <c r="N152">
        <v>1478.40784375099</v>
      </c>
      <c r="O152">
        <f t="shared" si="2"/>
        <v>2.2054355803699809E-2</v>
      </c>
    </row>
    <row r="153" spans="2:15" x14ac:dyDescent="0.2">
      <c r="B153" t="s">
        <v>6</v>
      </c>
      <c r="C153" t="s">
        <v>90</v>
      </c>
      <c r="D153">
        <v>3</v>
      </c>
      <c r="E153" t="s">
        <v>185</v>
      </c>
      <c r="F153" t="s">
        <v>179</v>
      </c>
      <c r="G153" t="s">
        <v>177</v>
      </c>
      <c r="H153" t="s">
        <v>180</v>
      </c>
      <c r="I153">
        <v>3</v>
      </c>
      <c r="J153">
        <v>44310.171875</v>
      </c>
      <c r="K153">
        <v>1921.51940917969</v>
      </c>
      <c r="L153">
        <v>345</v>
      </c>
      <c r="M153">
        <v>894</v>
      </c>
      <c r="N153">
        <v>2754.7249523734599</v>
      </c>
      <c r="O153">
        <f t="shared" si="2"/>
        <v>2.0175954237370015E-2</v>
      </c>
    </row>
    <row r="154" spans="2:15" x14ac:dyDescent="0.2">
      <c r="B154" t="s">
        <v>161</v>
      </c>
      <c r="C154" t="s">
        <v>177</v>
      </c>
      <c r="D154">
        <v>4</v>
      </c>
      <c r="E154" t="s">
        <v>185</v>
      </c>
      <c r="F154" t="s">
        <v>179</v>
      </c>
      <c r="G154" t="s">
        <v>177</v>
      </c>
      <c r="H154" t="s">
        <v>180</v>
      </c>
      <c r="I154">
        <v>4</v>
      </c>
      <c r="J154">
        <v>44511.7890625</v>
      </c>
      <c r="K154">
        <v>2470.46508789062</v>
      </c>
      <c r="L154">
        <v>528</v>
      </c>
      <c r="M154">
        <v>880</v>
      </c>
      <c r="N154">
        <v>1338.39916936701</v>
      </c>
      <c r="O154">
        <f t="shared" si="2"/>
        <v>1.9770043364565112E-2</v>
      </c>
    </row>
    <row r="155" spans="2:15" x14ac:dyDescent="0.2">
      <c r="B155" t="s">
        <v>6</v>
      </c>
      <c r="C155" t="s">
        <v>177</v>
      </c>
      <c r="D155">
        <v>4</v>
      </c>
      <c r="E155" t="s">
        <v>185</v>
      </c>
      <c r="F155" t="s">
        <v>179</v>
      </c>
      <c r="G155" t="s">
        <v>177</v>
      </c>
      <c r="H155" t="s">
        <v>180</v>
      </c>
      <c r="I155">
        <v>4</v>
      </c>
      <c r="J155">
        <v>44285.52734375</v>
      </c>
      <c r="K155">
        <v>2641.53100585938</v>
      </c>
      <c r="L155">
        <v>937</v>
      </c>
      <c r="M155">
        <v>1330</v>
      </c>
      <c r="N155">
        <v>718.22349188094699</v>
      </c>
      <c r="O155">
        <f t="shared" si="2"/>
        <v>3.0032384839326125E-2</v>
      </c>
    </row>
    <row r="156" spans="2:15" x14ac:dyDescent="0.2">
      <c r="B156" t="s">
        <v>161</v>
      </c>
      <c r="C156" t="s">
        <v>162</v>
      </c>
      <c r="D156">
        <v>4</v>
      </c>
      <c r="E156" t="s">
        <v>185</v>
      </c>
      <c r="F156" t="s">
        <v>179</v>
      </c>
      <c r="G156" t="s">
        <v>177</v>
      </c>
      <c r="H156" t="s">
        <v>180</v>
      </c>
      <c r="I156">
        <v>4</v>
      </c>
      <c r="J156">
        <v>44511.4609375</v>
      </c>
      <c r="K156">
        <v>2414.7412109375</v>
      </c>
      <c r="L156">
        <v>394</v>
      </c>
      <c r="M156">
        <v>801</v>
      </c>
      <c r="N156">
        <v>1824.2524971836999</v>
      </c>
      <c r="O156">
        <f t="shared" si="2"/>
        <v>1.7995365308829343E-2</v>
      </c>
    </row>
    <row r="157" spans="2:15" x14ac:dyDescent="0.2">
      <c r="B157" t="s">
        <v>6</v>
      </c>
      <c r="C157" t="s">
        <v>162</v>
      </c>
      <c r="D157">
        <v>4</v>
      </c>
      <c r="E157" t="s">
        <v>185</v>
      </c>
      <c r="F157" t="s">
        <v>179</v>
      </c>
      <c r="G157" t="s">
        <v>177</v>
      </c>
      <c r="H157" t="s">
        <v>180</v>
      </c>
      <c r="I157">
        <v>4</v>
      </c>
      <c r="J157">
        <v>44529.41796875</v>
      </c>
      <c r="K157">
        <v>1693.64685058594</v>
      </c>
      <c r="L157">
        <v>397</v>
      </c>
      <c r="M157">
        <v>807</v>
      </c>
      <c r="N157">
        <v>1401.34933362013</v>
      </c>
      <c r="O157">
        <f t="shared" si="2"/>
        <v>1.8122850843600494E-2</v>
      </c>
    </row>
    <row r="158" spans="2:15" x14ac:dyDescent="0.2">
      <c r="B158" t="s">
        <v>161</v>
      </c>
      <c r="C158" t="s">
        <v>90</v>
      </c>
      <c r="D158">
        <v>4</v>
      </c>
      <c r="E158" t="s">
        <v>185</v>
      </c>
      <c r="F158" t="s">
        <v>179</v>
      </c>
      <c r="G158" t="s">
        <v>177</v>
      </c>
      <c r="H158" t="s">
        <v>180</v>
      </c>
      <c r="I158">
        <v>4</v>
      </c>
      <c r="J158">
        <v>44485.52734375</v>
      </c>
      <c r="K158">
        <v>3113.66870117188</v>
      </c>
      <c r="L158">
        <v>990</v>
      </c>
      <c r="M158">
        <v>1523</v>
      </c>
      <c r="N158">
        <v>1294.7172621929201</v>
      </c>
      <c r="O158">
        <f t="shared" si="2"/>
        <v>3.4235853567193331E-2</v>
      </c>
    </row>
    <row r="159" spans="2:15" x14ac:dyDescent="0.2">
      <c r="B159" t="s">
        <v>6</v>
      </c>
      <c r="C159" t="s">
        <v>90</v>
      </c>
      <c r="D159">
        <v>4</v>
      </c>
      <c r="E159" t="s">
        <v>185</v>
      </c>
      <c r="F159" t="s">
        <v>179</v>
      </c>
      <c r="G159" t="s">
        <v>177</v>
      </c>
      <c r="H159" t="s">
        <v>180</v>
      </c>
      <c r="I159">
        <v>4</v>
      </c>
      <c r="J159">
        <v>44136.51953125</v>
      </c>
      <c r="K159">
        <v>2404.20751953125</v>
      </c>
      <c r="L159">
        <v>500</v>
      </c>
      <c r="M159">
        <v>951</v>
      </c>
      <c r="N159">
        <v>1938.05074684953</v>
      </c>
      <c r="O159">
        <f t="shared" si="2"/>
        <v>2.1546782802542078E-2</v>
      </c>
    </row>
    <row r="160" spans="2:15" x14ac:dyDescent="0.2">
      <c r="B160" t="s">
        <v>161</v>
      </c>
      <c r="C160" t="s">
        <v>177</v>
      </c>
      <c r="D160">
        <v>5</v>
      </c>
      <c r="E160" t="s">
        <v>185</v>
      </c>
      <c r="F160" t="s">
        <v>179</v>
      </c>
      <c r="G160" t="s">
        <v>177</v>
      </c>
      <c r="H160" t="s">
        <v>180</v>
      </c>
      <c r="I160">
        <v>5</v>
      </c>
      <c r="J160">
        <v>44477.52734375</v>
      </c>
      <c r="K160">
        <v>3120.58471679688</v>
      </c>
      <c r="L160">
        <v>640</v>
      </c>
      <c r="M160">
        <v>1491</v>
      </c>
      <c r="N160">
        <v>1044.3415132723401</v>
      </c>
      <c r="O160">
        <f t="shared" si="2"/>
        <v>3.3522546981459296E-2</v>
      </c>
    </row>
    <row r="161" spans="2:15" x14ac:dyDescent="0.2">
      <c r="B161" t="s">
        <v>6</v>
      </c>
      <c r="C161" t="s">
        <v>177</v>
      </c>
      <c r="D161">
        <v>5</v>
      </c>
      <c r="E161" t="s">
        <v>185</v>
      </c>
      <c r="F161" t="s">
        <v>179</v>
      </c>
      <c r="G161" t="s">
        <v>177</v>
      </c>
      <c r="H161" t="s">
        <v>180</v>
      </c>
      <c r="I161">
        <v>5</v>
      </c>
      <c r="J161">
        <v>44215.98046875</v>
      </c>
      <c r="K161">
        <v>2583.28930664062</v>
      </c>
      <c r="L161">
        <v>286</v>
      </c>
      <c r="M161">
        <v>478</v>
      </c>
      <c r="N161">
        <v>1002.00934527409</v>
      </c>
      <c r="O161">
        <f t="shared" si="2"/>
        <v>1.0810571086121913E-2</v>
      </c>
    </row>
    <row r="162" spans="2:15" x14ac:dyDescent="0.2">
      <c r="B162" t="s">
        <v>161</v>
      </c>
      <c r="C162" t="s">
        <v>162</v>
      </c>
      <c r="D162">
        <v>5</v>
      </c>
      <c r="E162" t="s">
        <v>185</v>
      </c>
      <c r="F162" t="s">
        <v>179</v>
      </c>
      <c r="G162" t="s">
        <v>177</v>
      </c>
      <c r="H162" t="s">
        <v>180</v>
      </c>
      <c r="I162">
        <v>5</v>
      </c>
      <c r="J162">
        <v>44518.36328125</v>
      </c>
      <c r="K162">
        <v>2277.15649414062</v>
      </c>
      <c r="L162">
        <v>664</v>
      </c>
      <c r="M162">
        <v>1200</v>
      </c>
      <c r="N162">
        <v>1157.4895577494301</v>
      </c>
      <c r="O162">
        <f t="shared" si="2"/>
        <v>2.6955168868605047E-2</v>
      </c>
    </row>
    <row r="163" spans="2:15" x14ac:dyDescent="0.2">
      <c r="B163" t="s">
        <v>6</v>
      </c>
      <c r="C163" t="s">
        <v>162</v>
      </c>
      <c r="D163">
        <v>5</v>
      </c>
      <c r="E163" t="s">
        <v>185</v>
      </c>
      <c r="F163" t="s">
        <v>179</v>
      </c>
      <c r="G163" t="s">
        <v>177</v>
      </c>
      <c r="H163" t="s">
        <v>180</v>
      </c>
      <c r="I163">
        <v>5</v>
      </c>
      <c r="J163">
        <v>44153.9375</v>
      </c>
      <c r="K163">
        <v>2141.08251953125</v>
      </c>
      <c r="L163">
        <v>654</v>
      </c>
      <c r="M163">
        <v>1114</v>
      </c>
      <c r="N163">
        <v>1151.6744737060101</v>
      </c>
      <c r="O163">
        <f t="shared" si="2"/>
        <v>2.5229912960763691E-2</v>
      </c>
    </row>
    <row r="164" spans="2:15" x14ac:dyDescent="0.2">
      <c r="B164" t="s">
        <v>161</v>
      </c>
      <c r="C164" t="s">
        <v>90</v>
      </c>
      <c r="D164">
        <v>5</v>
      </c>
      <c r="E164" t="s">
        <v>185</v>
      </c>
      <c r="F164" t="s">
        <v>179</v>
      </c>
      <c r="G164" t="s">
        <v>177</v>
      </c>
      <c r="H164" t="s">
        <v>180</v>
      </c>
      <c r="I164">
        <v>5</v>
      </c>
      <c r="J164">
        <v>44393.4921875</v>
      </c>
      <c r="K164">
        <v>2048.990234375</v>
      </c>
      <c r="L164">
        <v>744</v>
      </c>
      <c r="M164">
        <v>692</v>
      </c>
      <c r="N164">
        <v>1305.2059028052199</v>
      </c>
      <c r="O164">
        <f t="shared" si="2"/>
        <v>1.5587870336428463E-2</v>
      </c>
    </row>
    <row r="165" spans="2:15" x14ac:dyDescent="0.2">
      <c r="B165" t="s">
        <v>6</v>
      </c>
      <c r="C165" t="s">
        <v>90</v>
      </c>
      <c r="D165">
        <v>5</v>
      </c>
      <c r="E165" t="s">
        <v>185</v>
      </c>
      <c r="F165" t="s">
        <v>179</v>
      </c>
      <c r="G165" t="s">
        <v>177</v>
      </c>
      <c r="H165" t="s">
        <v>180</v>
      </c>
      <c r="I165">
        <v>5</v>
      </c>
      <c r="J165">
        <v>44406.26953125</v>
      </c>
      <c r="K165">
        <v>2834.41162109375</v>
      </c>
      <c r="L165">
        <v>644</v>
      </c>
      <c r="M165">
        <v>1367</v>
      </c>
      <c r="N165">
        <v>1582.0125928877401</v>
      </c>
      <c r="O165">
        <f t="shared" si="2"/>
        <v>3.0783941421559897E-2</v>
      </c>
    </row>
    <row r="166" spans="2:15" x14ac:dyDescent="0.2">
      <c r="B166" t="s">
        <v>161</v>
      </c>
      <c r="C166" t="s">
        <v>177</v>
      </c>
      <c r="D166">
        <v>6</v>
      </c>
      <c r="E166" t="s">
        <v>185</v>
      </c>
      <c r="F166" t="s">
        <v>179</v>
      </c>
      <c r="G166" t="s">
        <v>177</v>
      </c>
      <c r="H166" t="s">
        <v>180</v>
      </c>
      <c r="I166">
        <v>6</v>
      </c>
      <c r="J166">
        <v>44442.8984375</v>
      </c>
      <c r="K166">
        <v>1674.18249511719</v>
      </c>
      <c r="L166">
        <v>509</v>
      </c>
      <c r="M166">
        <v>697</v>
      </c>
      <c r="N166">
        <v>1006.08104785717</v>
      </c>
      <c r="O166">
        <f t="shared" si="2"/>
        <v>1.5683045537189487E-2</v>
      </c>
    </row>
    <row r="167" spans="2:15" x14ac:dyDescent="0.2">
      <c r="B167" t="s">
        <v>6</v>
      </c>
      <c r="C167" t="s">
        <v>177</v>
      </c>
      <c r="D167">
        <v>6</v>
      </c>
      <c r="E167" t="s">
        <v>185</v>
      </c>
      <c r="F167" t="s">
        <v>179</v>
      </c>
      <c r="G167" t="s">
        <v>177</v>
      </c>
      <c r="H167" t="s">
        <v>180</v>
      </c>
      <c r="I167">
        <v>6</v>
      </c>
      <c r="J167">
        <v>44359.8515625</v>
      </c>
      <c r="K167">
        <v>1870.78967285156</v>
      </c>
      <c r="L167">
        <v>739</v>
      </c>
      <c r="M167">
        <v>971</v>
      </c>
      <c r="N167">
        <v>738.96756933744598</v>
      </c>
      <c r="O167">
        <f t="shared" si="2"/>
        <v>2.1889162515161424E-2</v>
      </c>
    </row>
    <row r="168" spans="2:15" x14ac:dyDescent="0.2">
      <c r="B168" t="s">
        <v>161</v>
      </c>
      <c r="C168" t="s">
        <v>162</v>
      </c>
      <c r="D168">
        <v>6</v>
      </c>
      <c r="E168" t="s">
        <v>185</v>
      </c>
      <c r="F168" t="s">
        <v>179</v>
      </c>
      <c r="G168" t="s">
        <v>177</v>
      </c>
      <c r="H168" t="s">
        <v>180</v>
      </c>
      <c r="I168">
        <v>6</v>
      </c>
      <c r="J168">
        <v>44524.35546875</v>
      </c>
      <c r="K168">
        <v>1997.53015136719</v>
      </c>
      <c r="L168">
        <v>436</v>
      </c>
      <c r="M168">
        <v>972</v>
      </c>
      <c r="N168">
        <v>1053.40118546349</v>
      </c>
      <c r="O168">
        <f t="shared" si="2"/>
        <v>2.1830748357092127E-2</v>
      </c>
    </row>
    <row r="169" spans="2:15" x14ac:dyDescent="0.2">
      <c r="B169" t="s">
        <v>6</v>
      </c>
      <c r="C169" t="s">
        <v>162</v>
      </c>
      <c r="D169">
        <v>6</v>
      </c>
      <c r="E169" t="s">
        <v>185</v>
      </c>
      <c r="F169" t="s">
        <v>179</v>
      </c>
      <c r="G169" t="s">
        <v>177</v>
      </c>
      <c r="H169" t="s">
        <v>180</v>
      </c>
      <c r="I169">
        <v>6</v>
      </c>
      <c r="J169">
        <v>44284.296875</v>
      </c>
      <c r="K169">
        <v>1888.77673339844</v>
      </c>
      <c r="L169">
        <v>649</v>
      </c>
      <c r="M169">
        <v>1100</v>
      </c>
      <c r="N169">
        <v>1131.0584202991799</v>
      </c>
      <c r="O169">
        <f t="shared" si="2"/>
        <v>2.4839504691808432E-2</v>
      </c>
    </row>
    <row r="170" spans="2:15" x14ac:dyDescent="0.2">
      <c r="B170" t="s">
        <v>161</v>
      </c>
      <c r="C170" t="s">
        <v>90</v>
      </c>
      <c r="D170">
        <v>6</v>
      </c>
      <c r="E170" t="s">
        <v>185</v>
      </c>
      <c r="F170" t="s">
        <v>179</v>
      </c>
      <c r="G170" t="s">
        <v>177</v>
      </c>
      <c r="H170" t="s">
        <v>180</v>
      </c>
      <c r="I170">
        <v>6</v>
      </c>
      <c r="J170">
        <v>44539.12890625</v>
      </c>
      <c r="K170">
        <v>1631.81262207031</v>
      </c>
      <c r="L170">
        <v>343</v>
      </c>
      <c r="M170">
        <v>802</v>
      </c>
      <c r="N170">
        <v>1859.3572777346201</v>
      </c>
      <c r="O170">
        <f t="shared" si="2"/>
        <v>1.8006638649986226E-2</v>
      </c>
    </row>
    <row r="171" spans="2:15" x14ac:dyDescent="0.2">
      <c r="B171" t="s">
        <v>6</v>
      </c>
      <c r="C171" t="s">
        <v>90</v>
      </c>
      <c r="D171">
        <v>6</v>
      </c>
      <c r="E171" t="s">
        <v>185</v>
      </c>
      <c r="F171" t="s">
        <v>179</v>
      </c>
      <c r="G171" t="s">
        <v>177</v>
      </c>
      <c r="H171" t="s">
        <v>180</v>
      </c>
      <c r="I171">
        <v>6</v>
      </c>
      <c r="J171">
        <v>44466.1640625</v>
      </c>
      <c r="K171">
        <v>1061.89184570312</v>
      </c>
      <c r="L171">
        <v>193</v>
      </c>
      <c r="M171">
        <v>592</v>
      </c>
      <c r="N171">
        <v>1396.56185809986</v>
      </c>
      <c r="O171">
        <f t="shared" si="2"/>
        <v>1.3313493809987897E-2</v>
      </c>
    </row>
    <row r="172" spans="2:15" x14ac:dyDescent="0.2">
      <c r="B172" t="s">
        <v>161</v>
      </c>
      <c r="C172" t="s">
        <v>177</v>
      </c>
      <c r="D172">
        <v>7</v>
      </c>
      <c r="E172" t="s">
        <v>185</v>
      </c>
      <c r="F172" t="s">
        <v>179</v>
      </c>
      <c r="G172" t="s">
        <v>177</v>
      </c>
      <c r="H172" t="s">
        <v>180</v>
      </c>
      <c r="I172">
        <v>7</v>
      </c>
      <c r="J172">
        <v>44418.6640625</v>
      </c>
      <c r="K172">
        <v>1337.97619628906</v>
      </c>
      <c r="L172">
        <v>394</v>
      </c>
      <c r="M172">
        <v>714</v>
      </c>
      <c r="N172">
        <v>821.40141540014395</v>
      </c>
      <c r="O172">
        <f t="shared" si="2"/>
        <v>1.6074324049803811E-2</v>
      </c>
    </row>
    <row r="173" spans="2:15" x14ac:dyDescent="0.2">
      <c r="B173" t="s">
        <v>6</v>
      </c>
      <c r="C173" t="s">
        <v>177</v>
      </c>
      <c r="D173">
        <v>7</v>
      </c>
      <c r="E173" t="s">
        <v>185</v>
      </c>
      <c r="F173" t="s">
        <v>179</v>
      </c>
      <c r="G173" t="s">
        <v>177</v>
      </c>
      <c r="H173" t="s">
        <v>180</v>
      </c>
      <c r="I173">
        <v>7</v>
      </c>
      <c r="J173">
        <v>43727.9453125</v>
      </c>
      <c r="K173">
        <v>515.06140136718795</v>
      </c>
      <c r="L173">
        <v>159</v>
      </c>
      <c r="M173">
        <v>287</v>
      </c>
      <c r="N173">
        <v>755.57031058600603</v>
      </c>
      <c r="O173">
        <f t="shared" si="2"/>
        <v>6.5633086107514558E-3</v>
      </c>
    </row>
    <row r="174" spans="2:15" x14ac:dyDescent="0.2">
      <c r="B174" t="s">
        <v>161</v>
      </c>
      <c r="C174" t="s">
        <v>162</v>
      </c>
      <c r="D174">
        <v>7</v>
      </c>
      <c r="E174" t="s">
        <v>185</v>
      </c>
      <c r="F174" t="s">
        <v>179</v>
      </c>
      <c r="G174" t="s">
        <v>177</v>
      </c>
      <c r="H174" t="s">
        <v>180</v>
      </c>
      <c r="I174">
        <v>7</v>
      </c>
      <c r="J174">
        <v>44528.25</v>
      </c>
      <c r="K174">
        <v>1608.80627441406</v>
      </c>
      <c r="L174">
        <v>358</v>
      </c>
      <c r="M174">
        <v>709</v>
      </c>
      <c r="N174">
        <v>1653.4164624126699</v>
      </c>
      <c r="O174">
        <f t="shared" si="2"/>
        <v>1.5922476180851481E-2</v>
      </c>
    </row>
    <row r="175" spans="2:15" x14ac:dyDescent="0.2">
      <c r="B175" t="s">
        <v>6</v>
      </c>
      <c r="C175" t="s">
        <v>162</v>
      </c>
      <c r="D175">
        <v>7</v>
      </c>
      <c r="E175" t="s">
        <v>185</v>
      </c>
      <c r="F175" t="s">
        <v>179</v>
      </c>
      <c r="G175" t="s">
        <v>177</v>
      </c>
      <c r="H175" t="s">
        <v>180</v>
      </c>
      <c r="I175">
        <v>7</v>
      </c>
      <c r="J175">
        <v>44521.64453125</v>
      </c>
      <c r="K175">
        <v>2378.0537109375</v>
      </c>
      <c r="L175">
        <v>460</v>
      </c>
      <c r="M175">
        <v>888</v>
      </c>
      <c r="N175">
        <v>1170.4618304140899</v>
      </c>
      <c r="O175">
        <f t="shared" si="2"/>
        <v>1.9945354879618332E-2</v>
      </c>
    </row>
    <row r="176" spans="2:15" x14ac:dyDescent="0.2">
      <c r="B176" t="s">
        <v>161</v>
      </c>
      <c r="C176" t="s">
        <v>90</v>
      </c>
      <c r="D176">
        <v>7</v>
      </c>
      <c r="E176" t="s">
        <v>185</v>
      </c>
      <c r="F176" t="s">
        <v>179</v>
      </c>
      <c r="G176" t="s">
        <v>177</v>
      </c>
      <c r="H176" t="s">
        <v>180</v>
      </c>
      <c r="I176">
        <v>7</v>
      </c>
      <c r="J176">
        <v>44504.16015625</v>
      </c>
      <c r="K176">
        <v>2545.24194335938</v>
      </c>
      <c r="L176">
        <v>669</v>
      </c>
      <c r="M176">
        <v>1080</v>
      </c>
      <c r="N176">
        <v>1218.56207761411</v>
      </c>
      <c r="O176">
        <f t="shared" si="2"/>
        <v>2.4267394243779002E-2</v>
      </c>
    </row>
    <row r="177" spans="2:15" x14ac:dyDescent="0.2">
      <c r="B177" t="s">
        <v>6</v>
      </c>
      <c r="C177" t="s">
        <v>90</v>
      </c>
      <c r="D177">
        <v>7</v>
      </c>
      <c r="E177" t="s">
        <v>185</v>
      </c>
      <c r="F177" t="s">
        <v>179</v>
      </c>
      <c r="G177" t="s">
        <v>177</v>
      </c>
      <c r="H177" t="s">
        <v>180</v>
      </c>
      <c r="I177">
        <v>7</v>
      </c>
      <c r="J177">
        <v>44246.88671875</v>
      </c>
      <c r="K177">
        <v>1722.6376953125</v>
      </c>
      <c r="L177">
        <v>406</v>
      </c>
      <c r="M177">
        <v>969</v>
      </c>
      <c r="N177">
        <v>1376.1627204824199</v>
      </c>
      <c r="O177">
        <f t="shared" si="2"/>
        <v>2.1899845884284053E-2</v>
      </c>
    </row>
    <row r="178" spans="2:15" x14ac:dyDescent="0.2">
      <c r="B178" t="s">
        <v>161</v>
      </c>
      <c r="C178" t="s">
        <v>177</v>
      </c>
      <c r="D178">
        <v>8</v>
      </c>
      <c r="E178" t="s">
        <v>185</v>
      </c>
      <c r="F178" t="s">
        <v>179</v>
      </c>
      <c r="G178" t="s">
        <v>177</v>
      </c>
      <c r="H178" t="s">
        <v>180</v>
      </c>
      <c r="I178">
        <v>8</v>
      </c>
      <c r="J178">
        <v>44211.6328125</v>
      </c>
      <c r="K178">
        <v>2798.19409179688</v>
      </c>
      <c r="L178">
        <v>832</v>
      </c>
      <c r="M178">
        <v>1571</v>
      </c>
      <c r="N178">
        <v>919.66890401372802</v>
      </c>
      <c r="O178">
        <f t="shared" si="2"/>
        <v>3.5533634477210023E-2</v>
      </c>
    </row>
    <row r="179" spans="2:15" x14ac:dyDescent="0.2">
      <c r="B179" t="s">
        <v>6</v>
      </c>
      <c r="C179" t="s">
        <v>177</v>
      </c>
      <c r="D179">
        <v>8</v>
      </c>
      <c r="E179" t="s">
        <v>185</v>
      </c>
      <c r="F179" t="s">
        <v>179</v>
      </c>
      <c r="G179" t="s">
        <v>177</v>
      </c>
      <c r="H179" t="s">
        <v>180</v>
      </c>
      <c r="I179">
        <v>8</v>
      </c>
      <c r="J179">
        <v>43834.9609375</v>
      </c>
      <c r="K179">
        <v>8.3934068679809605E-3</v>
      </c>
      <c r="L179">
        <v>0</v>
      </c>
      <c r="M179">
        <v>0</v>
      </c>
      <c r="O179">
        <f t="shared" si="2"/>
        <v>0</v>
      </c>
    </row>
    <row r="180" spans="2:15" x14ac:dyDescent="0.2">
      <c r="B180" t="s">
        <v>161</v>
      </c>
      <c r="C180" t="s">
        <v>162</v>
      </c>
      <c r="D180">
        <v>8</v>
      </c>
      <c r="E180" t="s">
        <v>185</v>
      </c>
      <c r="F180" t="s">
        <v>179</v>
      </c>
      <c r="G180" t="s">
        <v>177</v>
      </c>
      <c r="H180" t="s">
        <v>180</v>
      </c>
      <c r="I180">
        <v>8</v>
      </c>
      <c r="J180">
        <v>44565.28125</v>
      </c>
      <c r="K180">
        <v>1260.91638183594</v>
      </c>
      <c r="L180">
        <v>106</v>
      </c>
      <c r="M180">
        <v>194</v>
      </c>
      <c r="N180">
        <v>2274.2766818017099</v>
      </c>
      <c r="O180">
        <f t="shared" si="2"/>
        <v>4.3531644939411212E-3</v>
      </c>
    </row>
    <row r="181" spans="2:15" x14ac:dyDescent="0.2">
      <c r="B181" t="s">
        <v>6</v>
      </c>
      <c r="C181" t="s">
        <v>162</v>
      </c>
      <c r="D181">
        <v>8</v>
      </c>
      <c r="E181" t="s">
        <v>185</v>
      </c>
      <c r="F181" t="s">
        <v>179</v>
      </c>
      <c r="G181" t="s">
        <v>177</v>
      </c>
      <c r="H181" t="s">
        <v>180</v>
      </c>
      <c r="I181">
        <v>8</v>
      </c>
      <c r="J181">
        <v>44201.578125</v>
      </c>
      <c r="K181">
        <v>1933.15270996094</v>
      </c>
      <c r="L181">
        <v>430</v>
      </c>
      <c r="M181">
        <v>961</v>
      </c>
      <c r="N181">
        <v>1083.5029506465</v>
      </c>
      <c r="O181">
        <f t="shared" si="2"/>
        <v>2.1741305192369758E-2</v>
      </c>
    </row>
    <row r="182" spans="2:15" x14ac:dyDescent="0.2">
      <c r="B182" t="s">
        <v>161</v>
      </c>
      <c r="C182" t="s">
        <v>90</v>
      </c>
      <c r="D182">
        <v>8</v>
      </c>
      <c r="E182" t="s">
        <v>185</v>
      </c>
      <c r="F182" t="s">
        <v>179</v>
      </c>
      <c r="G182" t="s">
        <v>177</v>
      </c>
      <c r="H182" t="s">
        <v>180</v>
      </c>
      <c r="I182">
        <v>8</v>
      </c>
      <c r="J182">
        <v>44396.69140625</v>
      </c>
      <c r="K182">
        <v>2029.41674804688</v>
      </c>
      <c r="L182">
        <v>408</v>
      </c>
      <c r="M182">
        <v>693</v>
      </c>
      <c r="N182">
        <v>1822.60977890653</v>
      </c>
      <c r="O182">
        <f t="shared" si="2"/>
        <v>1.5609271277869189E-2</v>
      </c>
    </row>
    <row r="183" spans="2:15" x14ac:dyDescent="0.2">
      <c r="B183" t="s">
        <v>6</v>
      </c>
      <c r="C183" t="s">
        <v>90</v>
      </c>
      <c r="D183">
        <v>8</v>
      </c>
      <c r="E183" t="s">
        <v>185</v>
      </c>
      <c r="F183" t="s">
        <v>179</v>
      </c>
      <c r="G183" t="s">
        <v>177</v>
      </c>
      <c r="H183" t="s">
        <v>180</v>
      </c>
      <c r="I183">
        <v>8</v>
      </c>
      <c r="J183">
        <v>44272.21875</v>
      </c>
      <c r="K183">
        <v>8.3934068679809605E-3</v>
      </c>
      <c r="L183">
        <v>0</v>
      </c>
      <c r="M183">
        <v>0</v>
      </c>
      <c r="O183">
        <f t="shared" si="2"/>
        <v>0</v>
      </c>
    </row>
    <row r="184" spans="2:15" x14ac:dyDescent="0.2">
      <c r="B184" t="s">
        <v>161</v>
      </c>
      <c r="C184" t="s">
        <v>177</v>
      </c>
      <c r="D184">
        <v>9</v>
      </c>
      <c r="E184" t="s">
        <v>185</v>
      </c>
      <c r="F184" t="s">
        <v>179</v>
      </c>
      <c r="G184" t="s">
        <v>177</v>
      </c>
      <c r="H184" t="s">
        <v>180</v>
      </c>
      <c r="I184">
        <v>9</v>
      </c>
      <c r="J184">
        <v>44140.4921875</v>
      </c>
      <c r="K184">
        <v>2397.94604492188</v>
      </c>
      <c r="L184">
        <v>594</v>
      </c>
      <c r="M184">
        <v>1176</v>
      </c>
      <c r="N184">
        <v>944.86112088573202</v>
      </c>
      <c r="O184">
        <f t="shared" si="2"/>
        <v>2.6642204056189195E-2</v>
      </c>
    </row>
    <row r="185" spans="2:15" x14ac:dyDescent="0.2">
      <c r="B185" t="s">
        <v>6</v>
      </c>
      <c r="C185" t="s">
        <v>177</v>
      </c>
      <c r="D185">
        <v>9</v>
      </c>
      <c r="E185" t="s">
        <v>185</v>
      </c>
      <c r="F185" t="s">
        <v>179</v>
      </c>
      <c r="G185" t="s">
        <v>177</v>
      </c>
      <c r="H185" t="s">
        <v>180</v>
      </c>
      <c r="I185">
        <v>9</v>
      </c>
      <c r="J185">
        <v>44358.015625</v>
      </c>
      <c r="K185">
        <v>2229.70849609375</v>
      </c>
      <c r="L185">
        <v>643</v>
      </c>
      <c r="M185">
        <v>1456</v>
      </c>
      <c r="N185">
        <v>768.40388710944205</v>
      </c>
      <c r="O185">
        <f t="shared" si="2"/>
        <v>3.2823830811299956E-2</v>
      </c>
    </row>
    <row r="186" spans="2:15" x14ac:dyDescent="0.2">
      <c r="B186" t="s">
        <v>161</v>
      </c>
      <c r="C186" t="s">
        <v>162</v>
      </c>
      <c r="D186">
        <v>9</v>
      </c>
      <c r="E186" t="s">
        <v>185</v>
      </c>
      <c r="F186" t="s">
        <v>179</v>
      </c>
      <c r="G186" t="s">
        <v>177</v>
      </c>
      <c r="H186" t="s">
        <v>180</v>
      </c>
      <c r="I186">
        <v>9</v>
      </c>
      <c r="J186">
        <v>43869.07421875</v>
      </c>
      <c r="K186">
        <v>1895.76843261719</v>
      </c>
      <c r="L186">
        <v>402</v>
      </c>
      <c r="M186">
        <v>799</v>
      </c>
      <c r="N186">
        <v>1289.0173465886301</v>
      </c>
      <c r="O186">
        <f t="shared" si="2"/>
        <v>1.8213286107106881E-2</v>
      </c>
    </row>
    <row r="187" spans="2:15" x14ac:dyDescent="0.2">
      <c r="B187" t="s">
        <v>6</v>
      </c>
      <c r="C187" t="s">
        <v>162</v>
      </c>
      <c r="D187">
        <v>9</v>
      </c>
      <c r="E187" t="s">
        <v>185</v>
      </c>
      <c r="F187" t="s">
        <v>179</v>
      </c>
      <c r="G187" t="s">
        <v>177</v>
      </c>
      <c r="H187" t="s">
        <v>180</v>
      </c>
      <c r="I187">
        <v>9</v>
      </c>
      <c r="J187">
        <v>44433.58203125</v>
      </c>
      <c r="K187">
        <v>1558.19409179688</v>
      </c>
      <c r="L187">
        <v>247</v>
      </c>
      <c r="M187">
        <v>472</v>
      </c>
      <c r="N187">
        <v>1271.54398307154</v>
      </c>
      <c r="O187">
        <f t="shared" si="2"/>
        <v>1.0622596208157241E-2</v>
      </c>
    </row>
    <row r="188" spans="2:15" x14ac:dyDescent="0.2">
      <c r="B188" t="s">
        <v>161</v>
      </c>
      <c r="C188" t="s">
        <v>90</v>
      </c>
      <c r="D188">
        <v>9</v>
      </c>
      <c r="E188" t="s">
        <v>185</v>
      </c>
      <c r="F188" t="s">
        <v>179</v>
      </c>
      <c r="G188" t="s">
        <v>177</v>
      </c>
      <c r="H188" t="s">
        <v>180</v>
      </c>
      <c r="I188">
        <v>9</v>
      </c>
      <c r="J188">
        <v>43867.6953125</v>
      </c>
      <c r="K188">
        <v>1914.888671875</v>
      </c>
      <c r="L188">
        <v>401</v>
      </c>
      <c r="M188">
        <v>981</v>
      </c>
      <c r="N188">
        <v>1835.5759282321101</v>
      </c>
      <c r="O188">
        <f t="shared" si="2"/>
        <v>2.2362697493261433E-2</v>
      </c>
    </row>
    <row r="189" spans="2:15" x14ac:dyDescent="0.2">
      <c r="B189" t="s">
        <v>6</v>
      </c>
      <c r="C189" t="s">
        <v>90</v>
      </c>
      <c r="D189">
        <v>9</v>
      </c>
      <c r="E189" t="s">
        <v>185</v>
      </c>
      <c r="F189" t="s">
        <v>179</v>
      </c>
      <c r="G189" t="s">
        <v>177</v>
      </c>
      <c r="H189" t="s">
        <v>180</v>
      </c>
      <c r="I189">
        <v>9</v>
      </c>
      <c r="J189">
        <v>44491.15234375</v>
      </c>
      <c r="K189">
        <v>1420.60095214844</v>
      </c>
      <c r="L189">
        <v>349</v>
      </c>
      <c r="M189">
        <v>814</v>
      </c>
      <c r="N189">
        <v>1737.42319962785</v>
      </c>
      <c r="O189">
        <f t="shared" si="2"/>
        <v>1.8295772465294409E-2</v>
      </c>
    </row>
    <row r="190" spans="2:15" x14ac:dyDescent="0.2">
      <c r="B190" t="s">
        <v>161</v>
      </c>
      <c r="C190" t="s">
        <v>177</v>
      </c>
      <c r="D190">
        <v>10</v>
      </c>
      <c r="E190" t="s">
        <v>185</v>
      </c>
      <c r="F190" t="s">
        <v>179</v>
      </c>
      <c r="G190" t="s">
        <v>177</v>
      </c>
      <c r="H190" t="s">
        <v>180</v>
      </c>
      <c r="I190">
        <v>10</v>
      </c>
      <c r="J190">
        <v>44499.6015625</v>
      </c>
      <c r="K190">
        <v>2423.00024414062</v>
      </c>
      <c r="L190">
        <v>101</v>
      </c>
      <c r="M190">
        <v>189</v>
      </c>
      <c r="N190">
        <v>1685.2226711051201</v>
      </c>
      <c r="O190">
        <f t="shared" si="2"/>
        <v>4.2472290394454026E-3</v>
      </c>
    </row>
    <row r="191" spans="2:15" x14ac:dyDescent="0.2">
      <c r="B191" t="s">
        <v>161</v>
      </c>
      <c r="C191" t="s">
        <v>162</v>
      </c>
      <c r="D191">
        <v>10</v>
      </c>
      <c r="E191" t="s">
        <v>185</v>
      </c>
      <c r="F191" t="s">
        <v>179</v>
      </c>
      <c r="G191" t="s">
        <v>177</v>
      </c>
      <c r="H191" t="s">
        <v>180</v>
      </c>
      <c r="I191">
        <v>10</v>
      </c>
      <c r="J191">
        <v>44523.203125</v>
      </c>
      <c r="K191">
        <v>2261.4189453125</v>
      </c>
      <c r="L191">
        <v>577</v>
      </c>
      <c r="M191">
        <v>1004</v>
      </c>
      <c r="N191">
        <v>1281.99904939568</v>
      </c>
      <c r="O191">
        <f t="shared" si="2"/>
        <v>2.255003974402392E-2</v>
      </c>
    </row>
    <row r="192" spans="2:15" x14ac:dyDescent="0.2">
      <c r="B192" t="s">
        <v>6</v>
      </c>
      <c r="C192" t="s">
        <v>162</v>
      </c>
      <c r="D192">
        <v>10</v>
      </c>
      <c r="E192" t="s">
        <v>185</v>
      </c>
      <c r="F192" t="s">
        <v>179</v>
      </c>
      <c r="G192" t="s">
        <v>177</v>
      </c>
      <c r="H192" t="s">
        <v>180</v>
      </c>
      <c r="I192">
        <v>10</v>
      </c>
      <c r="J192">
        <v>44378.109375</v>
      </c>
      <c r="K192">
        <v>1232.521484375</v>
      </c>
      <c r="L192">
        <v>15</v>
      </c>
      <c r="M192">
        <v>18</v>
      </c>
      <c r="N192">
        <v>3720.4710964626702</v>
      </c>
      <c r="O192">
        <f t="shared" si="2"/>
        <v>4.0560538187641077E-4</v>
      </c>
    </row>
    <row r="193" spans="2:16" x14ac:dyDescent="0.2">
      <c r="B193" t="s">
        <v>6</v>
      </c>
      <c r="C193" t="s">
        <v>90</v>
      </c>
      <c r="D193">
        <v>10</v>
      </c>
      <c r="E193" t="s">
        <v>185</v>
      </c>
      <c r="F193" t="s">
        <v>179</v>
      </c>
      <c r="G193" t="s">
        <v>177</v>
      </c>
      <c r="H193" t="s">
        <v>180</v>
      </c>
      <c r="I193">
        <v>10</v>
      </c>
      <c r="J193">
        <v>44522.9609375</v>
      </c>
      <c r="K193">
        <v>2168.08422851562</v>
      </c>
      <c r="L193">
        <v>808</v>
      </c>
      <c r="M193">
        <v>1143</v>
      </c>
      <c r="N193">
        <v>1250.3016282129199</v>
      </c>
      <c r="O193">
        <f t="shared" si="2"/>
        <v>2.5672147043511083E-2</v>
      </c>
    </row>
    <row r="196" spans="2:16" x14ac:dyDescent="0.2">
      <c r="B196" t="s">
        <v>186</v>
      </c>
    </row>
    <row r="197" spans="2:16" x14ac:dyDescent="0.2">
      <c r="B197" t="s">
        <v>187</v>
      </c>
    </row>
    <row r="198" spans="2:16" x14ac:dyDescent="0.2">
      <c r="B198" t="s">
        <v>161</v>
      </c>
      <c r="C198" t="s">
        <v>188</v>
      </c>
      <c r="D198">
        <v>1.7063069951132232E-2</v>
      </c>
      <c r="E198">
        <v>1.5618750025274623E-2</v>
      </c>
      <c r="F198">
        <v>1.131295573853415E-2</v>
      </c>
      <c r="G198">
        <v>1.5925799867735419E-2</v>
      </c>
      <c r="H198">
        <v>2.1648647911300757E-2</v>
      </c>
      <c r="I198">
        <v>1.1363208716939731E-2</v>
      </c>
      <c r="J198">
        <v>2.5166865007502457E-2</v>
      </c>
      <c r="K198">
        <v>2.9277896059422166E-3</v>
      </c>
      <c r="L198">
        <v>1.1090084133245172E-2</v>
      </c>
      <c r="M198">
        <v>1.4563103817599369E-2</v>
      </c>
      <c r="O198" s="17">
        <f>AVERAGE(D198:N198)</f>
        <v>1.4668027477520612E-2</v>
      </c>
    </row>
    <row r="199" spans="2:16" x14ac:dyDescent="0.2">
      <c r="B199" t="s">
        <v>6</v>
      </c>
      <c r="C199" t="s">
        <v>188</v>
      </c>
      <c r="D199">
        <v>1.8976168337611808E-2</v>
      </c>
      <c r="E199">
        <v>1.179205753560195E-2</v>
      </c>
      <c r="F199">
        <v>1.6567096211368537E-2</v>
      </c>
      <c r="G199">
        <v>1.7404891873086841E-2</v>
      </c>
      <c r="H199">
        <v>8.3745522724916373E-3</v>
      </c>
      <c r="I199">
        <v>7.6065084881094518E-3</v>
      </c>
      <c r="J199">
        <v>1.4427848541811294E-2</v>
      </c>
      <c r="K199">
        <v>1.2113195357524831E-2</v>
      </c>
      <c r="L199">
        <v>1.6452468159954318E-2</v>
      </c>
      <c r="M199">
        <v>1.5250170027323689E-2</v>
      </c>
      <c r="O199" s="17">
        <f t="shared" ref="O199:O201" si="3">AVERAGE(D199:N199)</f>
        <v>1.3896495680488435E-2</v>
      </c>
    </row>
    <row r="200" spans="2:16" x14ac:dyDescent="0.2">
      <c r="B200" t="s">
        <v>161</v>
      </c>
      <c r="C200" t="s">
        <v>162</v>
      </c>
      <c r="D200">
        <v>1.191289294086462E-2</v>
      </c>
      <c r="E200">
        <v>1.0916504307472413E-2</v>
      </c>
      <c r="F200">
        <v>8.0817144108385475E-3</v>
      </c>
      <c r="G200">
        <v>1.0062648853020537E-2</v>
      </c>
      <c r="H200">
        <v>1.532750837521819E-2</v>
      </c>
      <c r="I200">
        <v>6.9651940406867032E-3</v>
      </c>
      <c r="J200">
        <v>9.0470406124150572E-3</v>
      </c>
      <c r="K200">
        <v>8.7127271885192141E-3</v>
      </c>
      <c r="L200">
        <v>1.0119846389165018E-2</v>
      </c>
      <c r="M200">
        <v>1.0175436071941933E-2</v>
      </c>
      <c r="N200">
        <v>8.787886096180527E-3</v>
      </c>
      <c r="O200" s="17">
        <f t="shared" si="3"/>
        <v>1.0009945389665707E-2</v>
      </c>
    </row>
    <row r="201" spans="2:16" x14ac:dyDescent="0.2">
      <c r="B201" t="s">
        <v>6</v>
      </c>
      <c r="C201" t="s">
        <v>162</v>
      </c>
      <c r="D201">
        <v>1.4460775112422211E-2</v>
      </c>
      <c r="E201">
        <v>8.567529801845929E-3</v>
      </c>
      <c r="F201">
        <v>1.8392835791147484E-2</v>
      </c>
      <c r="G201">
        <v>9.7456477512880939E-3</v>
      </c>
      <c r="H201">
        <v>7.9231576449662472E-3</v>
      </c>
      <c r="I201">
        <v>1.512111204348373E-2</v>
      </c>
      <c r="J201">
        <v>2.3655452005261579E-3</v>
      </c>
      <c r="K201">
        <v>5.4451884545691697E-3</v>
      </c>
      <c r="L201">
        <v>1.1452923929900317E-2</v>
      </c>
      <c r="M201">
        <v>1.1556651302503149E-2</v>
      </c>
      <c r="O201" s="17">
        <f t="shared" si="3"/>
        <v>1.0503136703265248E-2</v>
      </c>
    </row>
    <row r="204" spans="2:16" x14ac:dyDescent="0.2">
      <c r="C204" t="s">
        <v>163</v>
      </c>
      <c r="D204" t="s">
        <v>164</v>
      </c>
      <c r="E204" t="s">
        <v>165</v>
      </c>
      <c r="F204" t="s">
        <v>166</v>
      </c>
      <c r="G204" t="s">
        <v>167</v>
      </c>
      <c r="H204" t="s">
        <v>168</v>
      </c>
      <c r="I204" t="s">
        <v>169</v>
      </c>
      <c r="J204" t="s">
        <v>170</v>
      </c>
      <c r="K204" t="s">
        <v>171</v>
      </c>
      <c r="L204" t="s">
        <v>172</v>
      </c>
      <c r="M204" t="s">
        <v>173</v>
      </c>
      <c r="N204" t="s">
        <v>174</v>
      </c>
      <c r="O204" t="s">
        <v>175</v>
      </c>
      <c r="P204" t="s">
        <v>176</v>
      </c>
    </row>
    <row r="205" spans="2:16" x14ac:dyDescent="0.2">
      <c r="B205">
        <v>1</v>
      </c>
      <c r="C205" t="s">
        <v>161</v>
      </c>
      <c r="D205" t="s">
        <v>188</v>
      </c>
      <c r="E205">
        <v>1</v>
      </c>
      <c r="F205" t="s">
        <v>189</v>
      </c>
      <c r="G205" t="s">
        <v>179</v>
      </c>
      <c r="H205" t="s">
        <v>177</v>
      </c>
      <c r="I205" t="s">
        <v>180</v>
      </c>
      <c r="J205">
        <v>1</v>
      </c>
      <c r="K205">
        <v>44540.63671875</v>
      </c>
      <c r="L205">
        <v>1242.66906738281</v>
      </c>
      <c r="M205">
        <v>421</v>
      </c>
      <c r="N205">
        <v>760</v>
      </c>
      <c r="O205">
        <v>6299.9286306280801</v>
      </c>
      <c r="P205">
        <f>N205/K205</f>
        <v>1.7063069951132232E-2</v>
      </c>
    </row>
    <row r="206" spans="2:16" x14ac:dyDescent="0.2">
      <c r="B206">
        <v>2</v>
      </c>
      <c r="C206" t="s">
        <v>6</v>
      </c>
      <c r="D206" t="s">
        <v>188</v>
      </c>
      <c r="E206">
        <v>1</v>
      </c>
      <c r="F206" t="s">
        <v>189</v>
      </c>
      <c r="G206" t="s">
        <v>179</v>
      </c>
      <c r="H206" t="s">
        <v>177</v>
      </c>
      <c r="I206" t="s">
        <v>180</v>
      </c>
      <c r="J206">
        <v>1</v>
      </c>
      <c r="K206">
        <v>44476.83984375</v>
      </c>
      <c r="L206">
        <v>1778.06774902344</v>
      </c>
      <c r="M206">
        <v>527</v>
      </c>
      <c r="N206">
        <v>844</v>
      </c>
      <c r="O206">
        <v>5297.4296713010999</v>
      </c>
      <c r="P206">
        <f t="shared" ref="P206:P245" si="4">N206/K206</f>
        <v>1.8976168337611808E-2</v>
      </c>
    </row>
    <row r="207" spans="2:16" x14ac:dyDescent="0.2">
      <c r="B207">
        <v>3</v>
      </c>
      <c r="C207" t="s">
        <v>161</v>
      </c>
      <c r="D207" t="s">
        <v>162</v>
      </c>
      <c r="E207">
        <v>1</v>
      </c>
      <c r="F207" t="s">
        <v>189</v>
      </c>
      <c r="G207" t="s">
        <v>179</v>
      </c>
      <c r="H207" t="s">
        <v>177</v>
      </c>
      <c r="I207" t="s">
        <v>180</v>
      </c>
      <c r="J207">
        <v>1</v>
      </c>
      <c r="K207">
        <v>44489.61328125</v>
      </c>
      <c r="L207">
        <v>910.36572265625</v>
      </c>
      <c r="M207">
        <v>297</v>
      </c>
      <c r="N207">
        <v>530</v>
      </c>
      <c r="O207">
        <v>5488.7005956109997</v>
      </c>
      <c r="P207">
        <f t="shared" si="4"/>
        <v>1.191289294086462E-2</v>
      </c>
    </row>
    <row r="208" spans="2:16" x14ac:dyDescent="0.2">
      <c r="B208">
        <v>4</v>
      </c>
      <c r="C208" t="s">
        <v>6</v>
      </c>
      <c r="D208" t="s">
        <v>162</v>
      </c>
      <c r="E208">
        <v>1</v>
      </c>
      <c r="F208" t="s">
        <v>189</v>
      </c>
      <c r="G208" t="s">
        <v>179</v>
      </c>
      <c r="H208" t="s">
        <v>177</v>
      </c>
      <c r="I208" t="s">
        <v>180</v>
      </c>
      <c r="J208">
        <v>1</v>
      </c>
      <c r="K208">
        <v>44534.265625</v>
      </c>
      <c r="L208">
        <v>1185.47644042969</v>
      </c>
      <c r="M208">
        <v>173</v>
      </c>
      <c r="N208">
        <v>644</v>
      </c>
      <c r="O208">
        <v>4353.3442318365396</v>
      </c>
      <c r="P208">
        <f t="shared" si="4"/>
        <v>1.4460775112422211E-2</v>
      </c>
    </row>
    <row r="209" spans="2:16" x14ac:dyDescent="0.2">
      <c r="B209">
        <v>5</v>
      </c>
      <c r="C209" t="s">
        <v>161</v>
      </c>
      <c r="D209" t="s">
        <v>188</v>
      </c>
      <c r="E209">
        <v>2</v>
      </c>
      <c r="F209" t="s">
        <v>189</v>
      </c>
      <c r="G209" t="s">
        <v>179</v>
      </c>
      <c r="H209" t="s">
        <v>177</v>
      </c>
      <c r="I209" t="s">
        <v>180</v>
      </c>
      <c r="J209">
        <v>2</v>
      </c>
      <c r="K209">
        <v>44433.7734375</v>
      </c>
      <c r="L209">
        <v>1263.23291015625</v>
      </c>
      <c r="M209">
        <v>503</v>
      </c>
      <c r="N209">
        <v>694</v>
      </c>
      <c r="O209">
        <v>7461.7935527174895</v>
      </c>
      <c r="P209">
        <f t="shared" si="4"/>
        <v>1.5618750025274623E-2</v>
      </c>
    </row>
    <row r="210" spans="2:16" x14ac:dyDescent="0.2">
      <c r="B210">
        <v>6</v>
      </c>
      <c r="C210" t="s">
        <v>6</v>
      </c>
      <c r="D210" t="s">
        <v>188</v>
      </c>
      <c r="E210">
        <v>2</v>
      </c>
      <c r="F210" t="s">
        <v>189</v>
      </c>
      <c r="G210" t="s">
        <v>179</v>
      </c>
      <c r="H210" t="s">
        <v>177</v>
      </c>
      <c r="I210" t="s">
        <v>180</v>
      </c>
      <c r="J210">
        <v>2</v>
      </c>
      <c r="K210">
        <v>44351.88671875</v>
      </c>
      <c r="L210">
        <v>684.96075439453102</v>
      </c>
      <c r="M210">
        <v>71</v>
      </c>
      <c r="N210">
        <v>523</v>
      </c>
      <c r="O210">
        <v>7627.3957981671201</v>
      </c>
      <c r="P210">
        <f t="shared" si="4"/>
        <v>1.179205753560195E-2</v>
      </c>
    </row>
    <row r="211" spans="2:16" x14ac:dyDescent="0.2">
      <c r="B211">
        <v>7</v>
      </c>
      <c r="C211" t="s">
        <v>161</v>
      </c>
      <c r="D211" t="s">
        <v>162</v>
      </c>
      <c r="E211">
        <v>2</v>
      </c>
      <c r="F211" t="s">
        <v>189</v>
      </c>
      <c r="G211" t="s">
        <v>179</v>
      </c>
      <c r="H211" t="s">
        <v>177</v>
      </c>
      <c r="I211" t="s">
        <v>180</v>
      </c>
      <c r="J211">
        <v>2</v>
      </c>
      <c r="K211">
        <v>44519.74609375</v>
      </c>
      <c r="L211">
        <v>978.67126464843795</v>
      </c>
      <c r="M211">
        <v>328</v>
      </c>
      <c r="N211">
        <v>486</v>
      </c>
      <c r="O211">
        <v>9234.7390799816694</v>
      </c>
      <c r="P211">
        <f t="shared" si="4"/>
        <v>1.0916504307472413E-2</v>
      </c>
    </row>
    <row r="212" spans="2:16" x14ac:dyDescent="0.2">
      <c r="B212">
        <v>8</v>
      </c>
      <c r="C212" t="s">
        <v>6</v>
      </c>
      <c r="D212" t="s">
        <v>162</v>
      </c>
      <c r="E212">
        <v>2</v>
      </c>
      <c r="F212" t="s">
        <v>189</v>
      </c>
      <c r="G212" t="s">
        <v>179</v>
      </c>
      <c r="H212" t="s">
        <v>177</v>
      </c>
      <c r="I212" t="s">
        <v>180</v>
      </c>
      <c r="J212">
        <v>2</v>
      </c>
      <c r="K212">
        <v>44353.5078125</v>
      </c>
      <c r="L212">
        <v>683.46673583984398</v>
      </c>
      <c r="M212">
        <v>151</v>
      </c>
      <c r="N212">
        <v>380</v>
      </c>
      <c r="O212">
        <v>5996.4486263877498</v>
      </c>
      <c r="P212">
        <f t="shared" si="4"/>
        <v>8.567529801845929E-3</v>
      </c>
    </row>
    <row r="213" spans="2:16" x14ac:dyDescent="0.2">
      <c r="B213">
        <v>9</v>
      </c>
      <c r="C213" t="s">
        <v>161</v>
      </c>
      <c r="D213" t="s">
        <v>188</v>
      </c>
      <c r="E213">
        <v>3</v>
      </c>
      <c r="F213" t="s">
        <v>189</v>
      </c>
      <c r="G213" t="s">
        <v>179</v>
      </c>
      <c r="H213" t="s">
        <v>177</v>
      </c>
      <c r="I213" t="s">
        <v>180</v>
      </c>
      <c r="J213">
        <v>3</v>
      </c>
      <c r="K213">
        <v>44550.69140625</v>
      </c>
      <c r="L213">
        <v>752.561279296875</v>
      </c>
      <c r="M213">
        <v>249</v>
      </c>
      <c r="N213">
        <v>504</v>
      </c>
      <c r="O213">
        <v>7890.0769110785604</v>
      </c>
      <c r="P213">
        <f t="shared" si="4"/>
        <v>1.131295573853415E-2</v>
      </c>
    </row>
    <row r="214" spans="2:16" x14ac:dyDescent="0.2">
      <c r="B214">
        <v>10</v>
      </c>
      <c r="C214" t="s">
        <v>6</v>
      </c>
      <c r="D214" t="s">
        <v>188</v>
      </c>
      <c r="E214">
        <v>3</v>
      </c>
      <c r="F214" t="s">
        <v>189</v>
      </c>
      <c r="G214" t="s">
        <v>179</v>
      </c>
      <c r="H214" t="s">
        <v>177</v>
      </c>
      <c r="I214" t="s">
        <v>180</v>
      </c>
      <c r="J214">
        <v>3</v>
      </c>
      <c r="K214">
        <v>44365.046875</v>
      </c>
      <c r="L214">
        <v>1335.70166015625</v>
      </c>
      <c r="M214">
        <v>456</v>
      </c>
      <c r="N214">
        <v>735</v>
      </c>
      <c r="O214">
        <v>6669.29386825043</v>
      </c>
      <c r="P214">
        <f t="shared" si="4"/>
        <v>1.6567096211368537E-2</v>
      </c>
    </row>
    <row r="215" spans="2:16" x14ac:dyDescent="0.2">
      <c r="B215">
        <v>11</v>
      </c>
      <c r="C215" t="s">
        <v>161</v>
      </c>
      <c r="D215" t="s">
        <v>162</v>
      </c>
      <c r="E215">
        <v>3</v>
      </c>
      <c r="F215" t="s">
        <v>189</v>
      </c>
      <c r="G215" t="s">
        <v>179</v>
      </c>
      <c r="H215" t="s">
        <v>177</v>
      </c>
      <c r="I215" t="s">
        <v>180</v>
      </c>
      <c r="J215">
        <v>3</v>
      </c>
      <c r="K215">
        <v>44545.00390625</v>
      </c>
      <c r="L215">
        <v>733.56695556640602</v>
      </c>
      <c r="M215">
        <v>154</v>
      </c>
      <c r="N215">
        <v>360</v>
      </c>
      <c r="O215">
        <v>8447.2332099066807</v>
      </c>
      <c r="P215">
        <f t="shared" si="4"/>
        <v>8.0817144108385475E-3</v>
      </c>
    </row>
    <row r="216" spans="2:16" x14ac:dyDescent="0.2">
      <c r="B216">
        <v>12</v>
      </c>
      <c r="C216" t="s">
        <v>6</v>
      </c>
      <c r="D216" t="s">
        <v>162</v>
      </c>
      <c r="E216">
        <v>3</v>
      </c>
      <c r="F216" t="s">
        <v>189</v>
      </c>
      <c r="G216" t="s">
        <v>179</v>
      </c>
      <c r="H216" t="s">
        <v>177</v>
      </c>
      <c r="I216" t="s">
        <v>180</v>
      </c>
      <c r="J216">
        <v>3</v>
      </c>
      <c r="K216">
        <v>44528.20703125</v>
      </c>
      <c r="L216">
        <v>1713.169921875</v>
      </c>
      <c r="M216">
        <v>428</v>
      </c>
      <c r="N216">
        <v>819</v>
      </c>
      <c r="O216">
        <v>6481.3866937099401</v>
      </c>
      <c r="P216">
        <f t="shared" si="4"/>
        <v>1.8392835791147484E-2</v>
      </c>
    </row>
    <row r="217" spans="2:16" x14ac:dyDescent="0.2">
      <c r="B217">
        <v>13</v>
      </c>
      <c r="C217" t="s">
        <v>161</v>
      </c>
      <c r="D217" t="s">
        <v>188</v>
      </c>
      <c r="E217">
        <v>4</v>
      </c>
      <c r="F217" t="s">
        <v>189</v>
      </c>
      <c r="G217" t="s">
        <v>179</v>
      </c>
      <c r="H217" t="s">
        <v>177</v>
      </c>
      <c r="I217" t="s">
        <v>180</v>
      </c>
      <c r="J217">
        <v>4</v>
      </c>
      <c r="K217">
        <v>44518.95703125</v>
      </c>
      <c r="L217">
        <v>1175.19445800781</v>
      </c>
      <c r="M217">
        <v>557</v>
      </c>
      <c r="N217">
        <v>709</v>
      </c>
      <c r="O217">
        <v>8808.6438804378995</v>
      </c>
      <c r="P217">
        <f t="shared" si="4"/>
        <v>1.5925799867735419E-2</v>
      </c>
    </row>
    <row r="218" spans="2:16" x14ac:dyDescent="0.2">
      <c r="B218">
        <v>14</v>
      </c>
      <c r="C218" t="s">
        <v>6</v>
      </c>
      <c r="D218" t="s">
        <v>188</v>
      </c>
      <c r="E218">
        <v>4</v>
      </c>
      <c r="F218" t="s">
        <v>189</v>
      </c>
      <c r="G218" t="s">
        <v>179</v>
      </c>
      <c r="H218" t="s">
        <v>177</v>
      </c>
      <c r="I218" t="s">
        <v>180</v>
      </c>
      <c r="J218">
        <v>4</v>
      </c>
      <c r="K218">
        <v>43953.16015625</v>
      </c>
      <c r="L218">
        <v>1809.33312988281</v>
      </c>
      <c r="M218">
        <v>352</v>
      </c>
      <c r="N218">
        <v>765</v>
      </c>
      <c r="O218">
        <v>7311.3347866881104</v>
      </c>
      <c r="P218">
        <f t="shared" si="4"/>
        <v>1.7404891873086841E-2</v>
      </c>
    </row>
    <row r="219" spans="2:16" x14ac:dyDescent="0.2">
      <c r="B219">
        <v>15</v>
      </c>
      <c r="C219" t="s">
        <v>161</v>
      </c>
      <c r="D219" t="s">
        <v>162</v>
      </c>
      <c r="E219">
        <v>4</v>
      </c>
      <c r="F219" t="s">
        <v>189</v>
      </c>
      <c r="G219" t="s">
        <v>179</v>
      </c>
      <c r="H219" t="s">
        <v>177</v>
      </c>
      <c r="I219" t="s">
        <v>180</v>
      </c>
      <c r="J219">
        <v>4</v>
      </c>
      <c r="K219">
        <v>44421.703125</v>
      </c>
      <c r="L219">
        <v>614.08685302734398</v>
      </c>
      <c r="M219">
        <v>271</v>
      </c>
      <c r="N219">
        <v>447</v>
      </c>
      <c r="O219">
        <v>6690.6350845917204</v>
      </c>
      <c r="P219">
        <f t="shared" si="4"/>
        <v>1.0062648853020537E-2</v>
      </c>
    </row>
    <row r="220" spans="2:16" x14ac:dyDescent="0.2">
      <c r="B220">
        <v>16</v>
      </c>
      <c r="C220" t="s">
        <v>6</v>
      </c>
      <c r="D220" t="s">
        <v>162</v>
      </c>
      <c r="E220">
        <v>4</v>
      </c>
      <c r="F220" t="s">
        <v>189</v>
      </c>
      <c r="G220" t="s">
        <v>179</v>
      </c>
      <c r="H220" t="s">
        <v>177</v>
      </c>
      <c r="I220" t="s">
        <v>180</v>
      </c>
      <c r="J220">
        <v>4</v>
      </c>
      <c r="K220">
        <v>44532.69921875</v>
      </c>
      <c r="L220">
        <v>703.01495361328102</v>
      </c>
      <c r="M220">
        <v>218</v>
      </c>
      <c r="N220">
        <v>434</v>
      </c>
      <c r="O220">
        <v>6745.1511151713703</v>
      </c>
      <c r="P220">
        <f t="shared" si="4"/>
        <v>9.7456477512880939E-3</v>
      </c>
    </row>
    <row r="221" spans="2:16" x14ac:dyDescent="0.2">
      <c r="B221">
        <v>17</v>
      </c>
      <c r="C221" t="s">
        <v>161</v>
      </c>
      <c r="D221" t="s">
        <v>188</v>
      </c>
      <c r="E221">
        <v>5</v>
      </c>
      <c r="F221" t="s">
        <v>189</v>
      </c>
      <c r="G221" t="s">
        <v>179</v>
      </c>
      <c r="H221" t="s">
        <v>177</v>
      </c>
      <c r="I221" t="s">
        <v>180</v>
      </c>
      <c r="J221">
        <v>5</v>
      </c>
      <c r="K221">
        <v>44529.33984375</v>
      </c>
      <c r="L221">
        <v>1386.22985839844</v>
      </c>
      <c r="M221">
        <v>681</v>
      </c>
      <c r="N221">
        <v>964</v>
      </c>
      <c r="O221">
        <v>7924.4809139774097</v>
      </c>
      <c r="P221">
        <f t="shared" si="4"/>
        <v>2.1648647911300757E-2</v>
      </c>
    </row>
    <row r="222" spans="2:16" x14ac:dyDescent="0.2">
      <c r="B222">
        <v>18</v>
      </c>
      <c r="C222" t="s">
        <v>6</v>
      </c>
      <c r="D222" t="s">
        <v>188</v>
      </c>
      <c r="E222">
        <v>5</v>
      </c>
      <c r="F222" t="s">
        <v>189</v>
      </c>
      <c r="G222" t="s">
        <v>179</v>
      </c>
      <c r="H222" t="s">
        <v>177</v>
      </c>
      <c r="I222" t="s">
        <v>180</v>
      </c>
      <c r="J222">
        <v>5</v>
      </c>
      <c r="K222">
        <v>44420.28515625</v>
      </c>
      <c r="L222">
        <v>589.28430175781205</v>
      </c>
      <c r="M222">
        <v>179</v>
      </c>
      <c r="N222">
        <v>372</v>
      </c>
      <c r="O222">
        <v>6894.0580687164002</v>
      </c>
      <c r="P222">
        <f t="shared" si="4"/>
        <v>8.3745522724916373E-3</v>
      </c>
    </row>
    <row r="223" spans="2:16" x14ac:dyDescent="0.2">
      <c r="B223">
        <v>19</v>
      </c>
      <c r="C223" t="s">
        <v>161</v>
      </c>
      <c r="D223" t="s">
        <v>162</v>
      </c>
      <c r="E223">
        <v>5</v>
      </c>
      <c r="F223" t="s">
        <v>189</v>
      </c>
      <c r="G223" t="s">
        <v>179</v>
      </c>
      <c r="H223" t="s">
        <v>177</v>
      </c>
      <c r="I223" t="s">
        <v>180</v>
      </c>
      <c r="J223">
        <v>5</v>
      </c>
      <c r="K223">
        <v>44560.40625</v>
      </c>
      <c r="L223">
        <v>1269.42724609375</v>
      </c>
      <c r="M223">
        <v>441</v>
      </c>
      <c r="N223">
        <v>683</v>
      </c>
      <c r="O223">
        <v>7470.1871296783502</v>
      </c>
      <c r="P223">
        <f t="shared" si="4"/>
        <v>1.532750837521819E-2</v>
      </c>
    </row>
    <row r="224" spans="2:16" x14ac:dyDescent="0.2">
      <c r="B224">
        <v>20</v>
      </c>
      <c r="C224" t="s">
        <v>6</v>
      </c>
      <c r="D224" t="s">
        <v>162</v>
      </c>
      <c r="E224">
        <v>5</v>
      </c>
      <c r="F224" t="s">
        <v>189</v>
      </c>
      <c r="G224" t="s">
        <v>179</v>
      </c>
      <c r="H224" t="s">
        <v>177</v>
      </c>
      <c r="I224" t="s">
        <v>180</v>
      </c>
      <c r="J224">
        <v>5</v>
      </c>
      <c r="K224">
        <v>44300.51953125</v>
      </c>
      <c r="L224">
        <v>626.53424072265602</v>
      </c>
      <c r="M224">
        <v>167</v>
      </c>
      <c r="N224">
        <v>351</v>
      </c>
      <c r="O224">
        <v>6898.2408422921098</v>
      </c>
      <c r="P224">
        <f t="shared" si="4"/>
        <v>7.9231576449662472E-3</v>
      </c>
    </row>
    <row r="225" spans="2:16" x14ac:dyDescent="0.2">
      <c r="B225">
        <v>21</v>
      </c>
      <c r="C225" t="s">
        <v>161</v>
      </c>
      <c r="D225" t="s">
        <v>188</v>
      </c>
      <c r="E225">
        <v>6</v>
      </c>
      <c r="F225" t="s">
        <v>189</v>
      </c>
      <c r="G225" t="s">
        <v>179</v>
      </c>
      <c r="H225" t="s">
        <v>177</v>
      </c>
      <c r="I225" t="s">
        <v>180</v>
      </c>
      <c r="J225">
        <v>6</v>
      </c>
      <c r="K225">
        <v>44529.67578125</v>
      </c>
      <c r="L225">
        <v>903.30682373046898</v>
      </c>
      <c r="M225">
        <v>279</v>
      </c>
      <c r="N225">
        <v>506</v>
      </c>
      <c r="O225">
        <v>8794.5634842823602</v>
      </c>
      <c r="P225">
        <f t="shared" si="4"/>
        <v>1.1363208716939731E-2</v>
      </c>
    </row>
    <row r="226" spans="2:16" x14ac:dyDescent="0.2">
      <c r="B226">
        <v>22</v>
      </c>
      <c r="C226" t="s">
        <v>6</v>
      </c>
      <c r="D226" t="s">
        <v>188</v>
      </c>
      <c r="E226">
        <v>6</v>
      </c>
      <c r="F226" t="s">
        <v>189</v>
      </c>
      <c r="G226" t="s">
        <v>179</v>
      </c>
      <c r="H226" t="s">
        <v>177</v>
      </c>
      <c r="I226" t="s">
        <v>180</v>
      </c>
      <c r="J226">
        <v>6</v>
      </c>
      <c r="K226">
        <v>44304.1640625</v>
      </c>
      <c r="L226">
        <v>641.44091796875</v>
      </c>
      <c r="M226">
        <v>145</v>
      </c>
      <c r="N226">
        <v>337</v>
      </c>
      <c r="O226">
        <v>7189.3327687430501</v>
      </c>
      <c r="P226">
        <f t="shared" si="4"/>
        <v>7.6065084881094518E-3</v>
      </c>
    </row>
    <row r="227" spans="2:16" x14ac:dyDescent="0.2">
      <c r="B227">
        <v>23</v>
      </c>
      <c r="C227" t="s">
        <v>161</v>
      </c>
      <c r="D227" t="s">
        <v>162</v>
      </c>
      <c r="E227">
        <v>6</v>
      </c>
      <c r="F227" t="s">
        <v>189</v>
      </c>
      <c r="G227" t="s">
        <v>179</v>
      </c>
      <c r="H227" t="s">
        <v>177</v>
      </c>
      <c r="I227" t="s">
        <v>180</v>
      </c>
      <c r="J227">
        <v>6</v>
      </c>
      <c r="K227">
        <v>44507.015625</v>
      </c>
      <c r="L227">
        <v>587.1943359375</v>
      </c>
      <c r="M227">
        <v>76</v>
      </c>
      <c r="N227">
        <v>310</v>
      </c>
      <c r="O227">
        <v>8418.5725696194495</v>
      </c>
      <c r="P227">
        <f t="shared" si="4"/>
        <v>6.9651940406867032E-3</v>
      </c>
    </row>
    <row r="228" spans="2:16" x14ac:dyDescent="0.2">
      <c r="B228">
        <v>24</v>
      </c>
      <c r="C228" t="s">
        <v>6</v>
      </c>
      <c r="D228" t="s">
        <v>162</v>
      </c>
      <c r="E228">
        <v>6</v>
      </c>
      <c r="F228" t="s">
        <v>189</v>
      </c>
      <c r="G228" t="s">
        <v>179</v>
      </c>
      <c r="H228" t="s">
        <v>177</v>
      </c>
      <c r="I228" t="s">
        <v>180</v>
      </c>
      <c r="J228">
        <v>6</v>
      </c>
      <c r="K228">
        <v>44507.30859375</v>
      </c>
      <c r="L228">
        <v>1272.16345214844</v>
      </c>
      <c r="M228">
        <v>382</v>
      </c>
      <c r="N228">
        <v>673</v>
      </c>
      <c r="O228">
        <v>5182.4746427493501</v>
      </c>
      <c r="P228">
        <f t="shared" si="4"/>
        <v>1.512111204348373E-2</v>
      </c>
    </row>
    <row r="229" spans="2:16" x14ac:dyDescent="0.2">
      <c r="B229">
        <v>25</v>
      </c>
      <c r="C229" t="s">
        <v>161</v>
      </c>
      <c r="D229" t="s">
        <v>188</v>
      </c>
      <c r="E229">
        <v>7</v>
      </c>
      <c r="F229" t="s">
        <v>189</v>
      </c>
      <c r="G229" t="s">
        <v>179</v>
      </c>
      <c r="H229" t="s">
        <v>177</v>
      </c>
      <c r="I229" t="s">
        <v>180</v>
      </c>
      <c r="J229">
        <v>7</v>
      </c>
      <c r="K229">
        <v>44542.6953125</v>
      </c>
      <c r="L229">
        <v>1599.0615234375</v>
      </c>
      <c r="M229">
        <v>490</v>
      </c>
      <c r="N229">
        <v>1121</v>
      </c>
      <c r="O229">
        <v>6704.4529930203198</v>
      </c>
      <c r="P229">
        <f t="shared" si="4"/>
        <v>2.5166865007502457E-2</v>
      </c>
    </row>
    <row r="230" spans="2:16" x14ac:dyDescent="0.2">
      <c r="B230">
        <v>26</v>
      </c>
      <c r="C230" t="s">
        <v>6</v>
      </c>
      <c r="D230" t="s">
        <v>188</v>
      </c>
      <c r="E230">
        <v>7</v>
      </c>
      <c r="F230" t="s">
        <v>189</v>
      </c>
      <c r="G230" t="s">
        <v>179</v>
      </c>
      <c r="H230" t="s">
        <v>177</v>
      </c>
      <c r="I230" t="s">
        <v>180</v>
      </c>
      <c r="J230">
        <v>7</v>
      </c>
      <c r="K230">
        <v>44289.34765625</v>
      </c>
      <c r="L230">
        <v>1978.19177246094</v>
      </c>
      <c r="M230">
        <v>294</v>
      </c>
      <c r="N230">
        <v>639</v>
      </c>
      <c r="O230">
        <v>7918.0845162118503</v>
      </c>
      <c r="P230">
        <f t="shared" si="4"/>
        <v>1.4427848541811294E-2</v>
      </c>
    </row>
    <row r="231" spans="2:16" x14ac:dyDescent="0.2">
      <c r="B231">
        <v>27</v>
      </c>
      <c r="C231" t="s">
        <v>161</v>
      </c>
      <c r="D231" t="s">
        <v>162</v>
      </c>
      <c r="E231">
        <v>7</v>
      </c>
      <c r="F231" t="s">
        <v>189</v>
      </c>
      <c r="G231" t="s">
        <v>179</v>
      </c>
      <c r="H231" t="s">
        <v>177</v>
      </c>
      <c r="I231" t="s">
        <v>180</v>
      </c>
      <c r="J231">
        <v>7</v>
      </c>
      <c r="K231">
        <v>44544.953125</v>
      </c>
      <c r="L231">
        <v>663.41485595703102</v>
      </c>
      <c r="M231">
        <v>241</v>
      </c>
      <c r="N231">
        <v>403</v>
      </c>
      <c r="O231">
        <v>8768.4017876182497</v>
      </c>
      <c r="P231">
        <f t="shared" si="4"/>
        <v>9.0470406124150572E-3</v>
      </c>
    </row>
    <row r="232" spans="2:16" x14ac:dyDescent="0.2">
      <c r="B232">
        <v>28</v>
      </c>
      <c r="C232" t="s">
        <v>6</v>
      </c>
      <c r="D232" t="s">
        <v>162</v>
      </c>
      <c r="E232">
        <v>7</v>
      </c>
      <c r="F232" t="s">
        <v>189</v>
      </c>
      <c r="G232" t="s">
        <v>179</v>
      </c>
      <c r="H232" t="s">
        <v>177</v>
      </c>
      <c r="I232" t="s">
        <v>180</v>
      </c>
      <c r="J232">
        <v>7</v>
      </c>
      <c r="K232">
        <v>44387.23046875</v>
      </c>
      <c r="L232">
        <v>253.66554260253901</v>
      </c>
      <c r="M232">
        <v>46</v>
      </c>
      <c r="N232">
        <v>105</v>
      </c>
      <c r="O232">
        <v>4609.9442778087796</v>
      </c>
      <c r="P232">
        <f t="shared" si="4"/>
        <v>2.3655452005261579E-3</v>
      </c>
    </row>
    <row r="233" spans="2:16" x14ac:dyDescent="0.2">
      <c r="B233">
        <v>29</v>
      </c>
      <c r="C233" t="s">
        <v>161</v>
      </c>
      <c r="D233" t="s">
        <v>188</v>
      </c>
      <c r="E233">
        <v>8</v>
      </c>
      <c r="F233" t="s">
        <v>189</v>
      </c>
      <c r="G233" t="s">
        <v>179</v>
      </c>
      <c r="H233" t="s">
        <v>177</v>
      </c>
      <c r="I233" t="s">
        <v>180</v>
      </c>
      <c r="J233">
        <v>8</v>
      </c>
      <c r="K233">
        <v>44402.09765625</v>
      </c>
      <c r="L233">
        <v>202.80989074707</v>
      </c>
      <c r="M233">
        <v>66</v>
      </c>
      <c r="N233">
        <v>130</v>
      </c>
      <c r="O233">
        <v>5919.1565129206701</v>
      </c>
      <c r="P233">
        <f t="shared" si="4"/>
        <v>2.9277896059422166E-3</v>
      </c>
    </row>
    <row r="234" spans="2:16" x14ac:dyDescent="0.2">
      <c r="B234">
        <v>30</v>
      </c>
      <c r="C234" t="s">
        <v>6</v>
      </c>
      <c r="D234" t="s">
        <v>188</v>
      </c>
      <c r="E234">
        <v>8</v>
      </c>
      <c r="F234" t="s">
        <v>189</v>
      </c>
      <c r="G234" t="s">
        <v>179</v>
      </c>
      <c r="H234" t="s">
        <v>177</v>
      </c>
      <c r="I234" t="s">
        <v>180</v>
      </c>
      <c r="J234">
        <v>8</v>
      </c>
      <c r="K234">
        <v>44331.8203125</v>
      </c>
      <c r="L234">
        <v>1089.53137207031</v>
      </c>
      <c r="M234">
        <v>346</v>
      </c>
      <c r="N234">
        <v>537</v>
      </c>
      <c r="O234">
        <v>7602.9586506706801</v>
      </c>
      <c r="P234">
        <f t="shared" si="4"/>
        <v>1.2113195357524831E-2</v>
      </c>
    </row>
    <row r="235" spans="2:16" x14ac:dyDescent="0.2">
      <c r="B235">
        <v>31</v>
      </c>
      <c r="C235" t="s">
        <v>161</v>
      </c>
      <c r="D235" t="s">
        <v>162</v>
      </c>
      <c r="E235">
        <v>8</v>
      </c>
      <c r="F235" t="s">
        <v>189</v>
      </c>
      <c r="G235" t="s">
        <v>179</v>
      </c>
      <c r="H235" t="s">
        <v>177</v>
      </c>
      <c r="I235" t="s">
        <v>180</v>
      </c>
      <c r="J235">
        <v>8</v>
      </c>
      <c r="K235">
        <v>44532.5546875</v>
      </c>
      <c r="L235">
        <v>692.80023193359398</v>
      </c>
      <c r="M235">
        <v>157</v>
      </c>
      <c r="N235">
        <v>388</v>
      </c>
      <c r="O235">
        <v>8150.3020233468897</v>
      </c>
      <c r="P235">
        <f t="shared" si="4"/>
        <v>8.7127271885192141E-3</v>
      </c>
    </row>
    <row r="236" spans="2:16" x14ac:dyDescent="0.2">
      <c r="B236">
        <v>32</v>
      </c>
      <c r="C236" t="s">
        <v>6</v>
      </c>
      <c r="D236" t="s">
        <v>162</v>
      </c>
      <c r="E236">
        <v>8</v>
      </c>
      <c r="F236" t="s">
        <v>189</v>
      </c>
      <c r="G236" t="s">
        <v>179</v>
      </c>
      <c r="H236" t="s">
        <v>177</v>
      </c>
      <c r="I236" t="s">
        <v>180</v>
      </c>
      <c r="J236">
        <v>8</v>
      </c>
      <c r="K236">
        <v>44442.90625</v>
      </c>
      <c r="L236">
        <v>771.42126464843795</v>
      </c>
      <c r="M236">
        <v>104</v>
      </c>
      <c r="N236">
        <v>242</v>
      </c>
      <c r="O236">
        <v>6035.2686979435703</v>
      </c>
      <c r="P236">
        <f t="shared" si="4"/>
        <v>5.4451884545691697E-3</v>
      </c>
    </row>
    <row r="237" spans="2:16" x14ac:dyDescent="0.2">
      <c r="B237">
        <v>33</v>
      </c>
      <c r="C237" t="s">
        <v>161</v>
      </c>
      <c r="D237" t="s">
        <v>188</v>
      </c>
      <c r="E237">
        <v>9</v>
      </c>
      <c r="F237" t="s">
        <v>189</v>
      </c>
      <c r="G237" t="s">
        <v>179</v>
      </c>
      <c r="H237" t="s">
        <v>177</v>
      </c>
      <c r="I237" t="s">
        <v>180</v>
      </c>
      <c r="J237">
        <v>9</v>
      </c>
      <c r="K237">
        <v>44544.296875</v>
      </c>
      <c r="L237">
        <v>1028.16711425781</v>
      </c>
      <c r="M237">
        <v>377</v>
      </c>
      <c r="N237">
        <v>494</v>
      </c>
      <c r="O237">
        <v>8232.2919437547407</v>
      </c>
      <c r="P237">
        <f t="shared" si="4"/>
        <v>1.1090084133245172E-2</v>
      </c>
    </row>
    <row r="238" spans="2:16" x14ac:dyDescent="0.2">
      <c r="B238">
        <v>34</v>
      </c>
      <c r="C238" t="s">
        <v>6</v>
      </c>
      <c r="D238" t="s">
        <v>188</v>
      </c>
      <c r="E238">
        <v>9</v>
      </c>
      <c r="F238" t="s">
        <v>189</v>
      </c>
      <c r="G238" t="s">
        <v>179</v>
      </c>
      <c r="H238" t="s">
        <v>177</v>
      </c>
      <c r="I238" t="s">
        <v>180</v>
      </c>
      <c r="J238">
        <v>9</v>
      </c>
      <c r="K238">
        <v>44491.8046875</v>
      </c>
      <c r="L238">
        <v>1305.02368164062</v>
      </c>
      <c r="M238">
        <v>363</v>
      </c>
      <c r="N238">
        <v>732</v>
      </c>
      <c r="O238">
        <v>6718.3265247449199</v>
      </c>
      <c r="P238">
        <f t="shared" si="4"/>
        <v>1.6452468159954318E-2</v>
      </c>
    </row>
    <row r="239" spans="2:16" x14ac:dyDescent="0.2">
      <c r="B239">
        <v>35</v>
      </c>
      <c r="C239" t="s">
        <v>161</v>
      </c>
      <c r="D239" t="s">
        <v>162</v>
      </c>
      <c r="E239">
        <v>9</v>
      </c>
      <c r="F239" t="s">
        <v>189</v>
      </c>
      <c r="G239" t="s">
        <v>179</v>
      </c>
      <c r="H239" t="s">
        <v>177</v>
      </c>
      <c r="I239" t="s">
        <v>180</v>
      </c>
      <c r="J239">
        <v>9</v>
      </c>
      <c r="K239">
        <v>44467.078125</v>
      </c>
      <c r="L239">
        <v>869.31353759765602</v>
      </c>
      <c r="M239">
        <v>194</v>
      </c>
      <c r="N239">
        <v>450</v>
      </c>
      <c r="O239">
        <v>7029.8727549913201</v>
      </c>
      <c r="P239">
        <f t="shared" si="4"/>
        <v>1.0119846389165018E-2</v>
      </c>
    </row>
    <row r="240" spans="2:16" x14ac:dyDescent="0.2">
      <c r="B240">
        <v>36</v>
      </c>
      <c r="C240" t="s">
        <v>6</v>
      </c>
      <c r="D240" t="s">
        <v>162</v>
      </c>
      <c r="E240">
        <v>9</v>
      </c>
      <c r="F240" t="s">
        <v>189</v>
      </c>
      <c r="G240" t="s">
        <v>179</v>
      </c>
      <c r="H240" t="s">
        <v>177</v>
      </c>
      <c r="I240" t="s">
        <v>180</v>
      </c>
      <c r="J240">
        <v>9</v>
      </c>
      <c r="K240">
        <v>44530.11328125</v>
      </c>
      <c r="L240">
        <v>1342.73522949219</v>
      </c>
      <c r="M240">
        <v>376</v>
      </c>
      <c r="N240">
        <v>510</v>
      </c>
      <c r="O240">
        <v>6281.9974647671597</v>
      </c>
      <c r="P240">
        <f t="shared" si="4"/>
        <v>1.1452923929900317E-2</v>
      </c>
    </row>
    <row r="241" spans="2:16" x14ac:dyDescent="0.2">
      <c r="B241">
        <v>37</v>
      </c>
      <c r="C241" t="s">
        <v>161</v>
      </c>
      <c r="D241" t="s">
        <v>188</v>
      </c>
      <c r="E241">
        <v>10</v>
      </c>
      <c r="F241" t="s">
        <v>189</v>
      </c>
      <c r="G241" t="s">
        <v>179</v>
      </c>
      <c r="H241" t="s">
        <v>177</v>
      </c>
      <c r="I241" t="s">
        <v>180</v>
      </c>
      <c r="J241">
        <v>10</v>
      </c>
      <c r="K241">
        <v>44564.67578125</v>
      </c>
      <c r="L241">
        <v>1246.82385253906</v>
      </c>
      <c r="M241">
        <v>494</v>
      </c>
      <c r="N241">
        <v>649</v>
      </c>
      <c r="O241">
        <v>7807.22190464296</v>
      </c>
      <c r="P241">
        <f t="shared" si="4"/>
        <v>1.4563103817599369E-2</v>
      </c>
    </row>
    <row r="242" spans="2:16" x14ac:dyDescent="0.2">
      <c r="B242">
        <v>38</v>
      </c>
      <c r="C242" t="s">
        <v>6</v>
      </c>
      <c r="D242" t="s">
        <v>188</v>
      </c>
      <c r="E242">
        <v>10</v>
      </c>
      <c r="F242" t="s">
        <v>189</v>
      </c>
      <c r="G242" t="s">
        <v>179</v>
      </c>
      <c r="H242" t="s">
        <v>177</v>
      </c>
      <c r="I242" t="s">
        <v>180</v>
      </c>
      <c r="J242">
        <v>10</v>
      </c>
      <c r="K242">
        <v>44524.09375</v>
      </c>
      <c r="L242">
        <v>1470.83544921875</v>
      </c>
      <c r="M242">
        <v>544</v>
      </c>
      <c r="N242">
        <v>679</v>
      </c>
      <c r="O242">
        <v>7933.1621899162401</v>
      </c>
      <c r="P242">
        <f t="shared" si="4"/>
        <v>1.5250170027323689E-2</v>
      </c>
    </row>
    <row r="243" spans="2:16" x14ac:dyDescent="0.2">
      <c r="B243">
        <v>39</v>
      </c>
      <c r="C243" t="s">
        <v>161</v>
      </c>
      <c r="D243" t="s">
        <v>162</v>
      </c>
      <c r="E243">
        <v>10</v>
      </c>
      <c r="F243" t="s">
        <v>189</v>
      </c>
      <c r="G243" t="s">
        <v>179</v>
      </c>
      <c r="H243" t="s">
        <v>177</v>
      </c>
      <c r="I243" t="s">
        <v>180</v>
      </c>
      <c r="J243">
        <v>10</v>
      </c>
      <c r="K243">
        <v>44518.9765625</v>
      </c>
      <c r="L243">
        <v>948.37103271484398</v>
      </c>
      <c r="M243">
        <v>197</v>
      </c>
      <c r="N243">
        <v>453</v>
      </c>
      <c r="O243">
        <v>8449.2192512158508</v>
      </c>
      <c r="P243">
        <f t="shared" si="4"/>
        <v>1.0175436071941933E-2</v>
      </c>
    </row>
    <row r="244" spans="2:16" x14ac:dyDescent="0.2">
      <c r="B244">
        <v>40</v>
      </c>
      <c r="C244" t="s">
        <v>6</v>
      </c>
      <c r="D244" t="s">
        <v>162</v>
      </c>
      <c r="E244">
        <v>10</v>
      </c>
      <c r="F244" t="s">
        <v>189</v>
      </c>
      <c r="G244" t="s">
        <v>179</v>
      </c>
      <c r="H244" t="s">
        <v>177</v>
      </c>
      <c r="I244" t="s">
        <v>180</v>
      </c>
      <c r="J244">
        <v>10</v>
      </c>
      <c r="K244">
        <v>44563.08203125</v>
      </c>
      <c r="L244">
        <v>777.02801513671898</v>
      </c>
      <c r="M244">
        <v>154</v>
      </c>
      <c r="N244">
        <v>515</v>
      </c>
      <c r="O244">
        <v>4910.7291409094396</v>
      </c>
      <c r="P244">
        <f t="shared" si="4"/>
        <v>1.1556651302503149E-2</v>
      </c>
    </row>
    <row r="245" spans="2:16" x14ac:dyDescent="0.2">
      <c r="B245">
        <v>41</v>
      </c>
      <c r="C245" t="s">
        <v>161</v>
      </c>
      <c r="D245" t="s">
        <v>162</v>
      </c>
      <c r="E245">
        <v>11</v>
      </c>
      <c r="F245" t="s">
        <v>189</v>
      </c>
      <c r="G245" t="s">
        <v>179</v>
      </c>
      <c r="H245" t="s">
        <v>177</v>
      </c>
      <c r="I245" t="s">
        <v>180</v>
      </c>
      <c r="J245">
        <v>11</v>
      </c>
      <c r="K245">
        <v>44379.2734375</v>
      </c>
      <c r="L245">
        <v>683.33245849609398</v>
      </c>
      <c r="M245">
        <v>126</v>
      </c>
      <c r="N245">
        <v>390</v>
      </c>
      <c r="O245">
        <v>8364.5754269330901</v>
      </c>
      <c r="P245">
        <f t="shared" si="4"/>
        <v>8.787886096180527E-3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4389-5DA6-3B4E-B0EF-D0EF5D0D9DF3}">
  <dimension ref="A1"/>
  <sheetViews>
    <sheetView workbookViewId="0">
      <selection activeCell="I25" sqref="I25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2A</vt:lpstr>
      <vt:lpstr>2B</vt:lpstr>
      <vt:lpstr>2C</vt:lpstr>
      <vt:lpstr>2D</vt:lpstr>
      <vt:lpstr>2E</vt:lpstr>
      <vt:lpstr>2F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2022-08-08T09:40:49Z</dcterms:created>
  <dcterms:modified xsi:type="dcterms:W3CDTF">2022-08-09T01:56:48Z</dcterms:modified>
</cp:coreProperties>
</file>